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https://d.docs.live.net/0f8a2145e0563cba/Documents/"/>
    </mc:Choice>
  </mc:AlternateContent>
  <xr:revisionPtr revIDLastSave="0" documentId="8_{A085B016-C25C-BB46-BFB9-9A02E5BBD558}" xr6:coauthVersionLast="47" xr6:coauthVersionMax="47" xr10:uidLastSave="{00000000-0000-0000-0000-000000000000}"/>
  <bookViews>
    <workbookView xWindow="0" yWindow="660" windowWidth="30240" windowHeight="15320" tabRatio="500" xr2:uid="{00000000-000D-0000-FFFF-FFFF00000000}"/>
  </bookViews>
  <sheets>
    <sheet name="FY26-FY27 DRA-CSR" sheetId="1" r:id="rId1"/>
    <sheet name="Summary" sheetId="2" r:id="rId2"/>
    <sheet name="By School Level" sheetId="3" r:id="rId3"/>
    <sheet name="Classification Log" sheetId="4" r:id="rId4"/>
  </sheets>
  <definedNames>
    <definedName name="_xlnm._FilterDatabase" localSheetId="0" hidden="1">'FY26-FY27 DRA-CSR'!$A$4:$K$88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4" i="3" l="1"/>
  <c r="D44" i="3"/>
  <c r="C44" i="3"/>
  <c r="B44" i="3"/>
  <c r="G43" i="3"/>
  <c r="I43" i="3" s="1"/>
  <c r="E43" i="3"/>
  <c r="D43" i="3"/>
  <c r="C43" i="3"/>
  <c r="B43" i="3"/>
  <c r="E42" i="3"/>
  <c r="D42" i="3"/>
  <c r="C42" i="3"/>
  <c r="B42" i="3"/>
  <c r="E41" i="3"/>
  <c r="D41" i="3"/>
  <c r="C41" i="3"/>
  <c r="B41" i="3"/>
  <c r="G40" i="3"/>
  <c r="I40" i="3" s="1"/>
  <c r="E40" i="3"/>
  <c r="E45" i="3" s="1"/>
  <c r="D40" i="3"/>
  <c r="D45" i="3" s="1"/>
  <c r="C40" i="3"/>
  <c r="C45" i="3" s="1"/>
  <c r="B40" i="3"/>
  <c r="B45" i="3" s="1"/>
  <c r="G33" i="3"/>
  <c r="I33" i="3" s="1"/>
  <c r="E33" i="3"/>
  <c r="D33" i="3"/>
  <c r="C33" i="3"/>
  <c r="B33" i="3"/>
  <c r="E32" i="3"/>
  <c r="D32" i="3"/>
  <c r="C32" i="3"/>
  <c r="B32" i="3"/>
  <c r="E31" i="3"/>
  <c r="D31" i="3"/>
  <c r="C31" i="3"/>
  <c r="B31" i="3"/>
  <c r="G30" i="3"/>
  <c r="I30" i="3" s="1"/>
  <c r="E30" i="3"/>
  <c r="D30" i="3"/>
  <c r="C30" i="3"/>
  <c r="B30" i="3"/>
  <c r="E29" i="3"/>
  <c r="E34" i="3" s="1"/>
  <c r="D29" i="3"/>
  <c r="D34" i="3" s="1"/>
  <c r="C29" i="3"/>
  <c r="C34" i="3" s="1"/>
  <c r="B29" i="3"/>
  <c r="C23" i="3"/>
  <c r="E22" i="3"/>
  <c r="D22" i="3"/>
  <c r="C22" i="3"/>
  <c r="B22" i="3"/>
  <c r="E21" i="3"/>
  <c r="D21" i="3"/>
  <c r="C21" i="3"/>
  <c r="B21" i="3"/>
  <c r="G20" i="3"/>
  <c r="I20" i="3" s="1"/>
  <c r="E20" i="3"/>
  <c r="D20" i="3"/>
  <c r="C20" i="3"/>
  <c r="B20" i="3"/>
  <c r="E19" i="3"/>
  <c r="D19" i="3"/>
  <c r="C19" i="3"/>
  <c r="B19" i="3"/>
  <c r="G18" i="3"/>
  <c r="E18" i="3"/>
  <c r="E23" i="3" s="1"/>
  <c r="D18" i="3"/>
  <c r="D23" i="3" s="1"/>
  <c r="C18" i="3"/>
  <c r="B18" i="3"/>
  <c r="E11" i="3"/>
  <c r="D11" i="3"/>
  <c r="C11" i="3"/>
  <c r="B11" i="3"/>
  <c r="G10" i="3"/>
  <c r="I10" i="3" s="1"/>
  <c r="E10" i="3"/>
  <c r="D10" i="3"/>
  <c r="C10" i="3"/>
  <c r="B10" i="3"/>
  <c r="E9" i="3"/>
  <c r="D9" i="3"/>
  <c r="C9" i="3"/>
  <c r="B9" i="3"/>
  <c r="G8" i="3"/>
  <c r="I8" i="3" s="1"/>
  <c r="F8" i="3"/>
  <c r="H8" i="3" s="1"/>
  <c r="E8" i="3"/>
  <c r="D8" i="3"/>
  <c r="C8" i="3"/>
  <c r="B8" i="3"/>
  <c r="E7" i="3"/>
  <c r="D7" i="3"/>
  <c r="D12" i="3" s="1"/>
  <c r="C7" i="3"/>
  <c r="C12" i="3" s="1"/>
  <c r="B7" i="3"/>
  <c r="B23" i="2"/>
  <c r="B19" i="2"/>
  <c r="B16" i="2"/>
  <c r="B12" i="2"/>
  <c r="B11" i="2"/>
  <c r="B10" i="2"/>
  <c r="B8" i="2"/>
  <c r="B7" i="2"/>
  <c r="B4" i="2"/>
  <c r="F92" i="1"/>
  <c r="H89" i="1"/>
  <c r="J89" i="1" s="1"/>
  <c r="F89" i="1"/>
  <c r="E89" i="1"/>
  <c r="E92" i="1" s="1"/>
  <c r="D89" i="1"/>
  <c r="D92" i="1" s="1"/>
  <c r="H88" i="1"/>
  <c r="J88" i="1" s="1"/>
  <c r="G88" i="1"/>
  <c r="K88" i="1" s="1"/>
  <c r="J87" i="1"/>
  <c r="H87" i="1"/>
  <c r="G87" i="1"/>
  <c r="H86" i="1"/>
  <c r="J86" i="1" s="1"/>
  <c r="G86" i="1"/>
  <c r="K86" i="1" s="1"/>
  <c r="J85" i="1"/>
  <c r="H85" i="1"/>
  <c r="G85" i="1"/>
  <c r="H84" i="1"/>
  <c r="J84" i="1" s="1"/>
  <c r="G84" i="1"/>
  <c r="K84" i="1" s="1"/>
  <c r="J83" i="1"/>
  <c r="H83" i="1"/>
  <c r="G83" i="1"/>
  <c r="H82" i="1"/>
  <c r="J82" i="1" s="1"/>
  <c r="G82" i="1"/>
  <c r="K82" i="1" s="1"/>
  <c r="J81" i="1"/>
  <c r="H81" i="1"/>
  <c r="G81" i="1"/>
  <c r="H80" i="1"/>
  <c r="J80" i="1" s="1"/>
  <c r="G80" i="1"/>
  <c r="K80" i="1" s="1"/>
  <c r="J79" i="1"/>
  <c r="H79" i="1"/>
  <c r="G79" i="1"/>
  <c r="H78" i="1"/>
  <c r="J78" i="1" s="1"/>
  <c r="G78" i="1"/>
  <c r="K78" i="1" s="1"/>
  <c r="J77" i="1"/>
  <c r="H77" i="1"/>
  <c r="G77" i="1"/>
  <c r="I77" i="1" s="1"/>
  <c r="H76" i="1"/>
  <c r="J76" i="1" s="1"/>
  <c r="G76" i="1"/>
  <c r="K76" i="1" s="1"/>
  <c r="K75" i="1"/>
  <c r="J75" i="1"/>
  <c r="H75" i="1"/>
  <c r="G75" i="1"/>
  <c r="I75" i="1" s="1"/>
  <c r="H74" i="1"/>
  <c r="J74" i="1" s="1"/>
  <c r="G74" i="1"/>
  <c r="K74" i="1" s="1"/>
  <c r="J73" i="1"/>
  <c r="H73" i="1"/>
  <c r="G73" i="1"/>
  <c r="I73" i="1" s="1"/>
  <c r="H72" i="1"/>
  <c r="J72" i="1" s="1"/>
  <c r="G72" i="1"/>
  <c r="K72" i="1" s="1"/>
  <c r="K71" i="1"/>
  <c r="J71" i="1"/>
  <c r="H71" i="1"/>
  <c r="G71" i="1"/>
  <c r="I71" i="1" s="1"/>
  <c r="H70" i="1"/>
  <c r="J70" i="1" s="1"/>
  <c r="G70" i="1"/>
  <c r="K70" i="1" s="1"/>
  <c r="J69" i="1"/>
  <c r="H69" i="1"/>
  <c r="G69" i="1"/>
  <c r="I69" i="1" s="1"/>
  <c r="H68" i="1"/>
  <c r="J68" i="1" s="1"/>
  <c r="G68" i="1"/>
  <c r="K68" i="1" s="1"/>
  <c r="J67" i="1"/>
  <c r="H67" i="1"/>
  <c r="G67" i="1"/>
  <c r="I67" i="1" s="1"/>
  <c r="H66" i="1"/>
  <c r="J66" i="1" s="1"/>
  <c r="G66" i="1"/>
  <c r="K66" i="1" s="1"/>
  <c r="K65" i="1"/>
  <c r="J65" i="1"/>
  <c r="H65" i="1"/>
  <c r="G65" i="1"/>
  <c r="I65" i="1" s="1"/>
  <c r="H64" i="1"/>
  <c r="J64" i="1" s="1"/>
  <c r="G64" i="1"/>
  <c r="K64" i="1" s="1"/>
  <c r="J63" i="1"/>
  <c r="H63" i="1"/>
  <c r="G63" i="1"/>
  <c r="I63" i="1" s="1"/>
  <c r="H62" i="1"/>
  <c r="J62" i="1" s="1"/>
  <c r="G62" i="1"/>
  <c r="K62" i="1" s="1"/>
  <c r="K61" i="1"/>
  <c r="J61" i="1"/>
  <c r="H61" i="1"/>
  <c r="G61" i="1"/>
  <c r="I61" i="1" s="1"/>
  <c r="H60" i="1"/>
  <c r="J60" i="1" s="1"/>
  <c r="G60" i="1"/>
  <c r="K60" i="1" s="1"/>
  <c r="J59" i="1"/>
  <c r="H59" i="1"/>
  <c r="G59" i="1"/>
  <c r="I59" i="1" s="1"/>
  <c r="H58" i="1"/>
  <c r="J58" i="1" s="1"/>
  <c r="G58" i="1"/>
  <c r="K58" i="1" s="1"/>
  <c r="J57" i="1"/>
  <c r="H57" i="1"/>
  <c r="G57" i="1"/>
  <c r="I57" i="1" s="1"/>
  <c r="H56" i="1"/>
  <c r="J56" i="1" s="1"/>
  <c r="G56" i="1"/>
  <c r="K56" i="1" s="1"/>
  <c r="K55" i="1"/>
  <c r="J55" i="1"/>
  <c r="H55" i="1"/>
  <c r="G55" i="1"/>
  <c r="I55" i="1" s="1"/>
  <c r="H54" i="1"/>
  <c r="J54" i="1" s="1"/>
  <c r="G54" i="1"/>
  <c r="K54" i="1" s="1"/>
  <c r="J53" i="1"/>
  <c r="H53" i="1"/>
  <c r="G53" i="1"/>
  <c r="I53" i="1" s="1"/>
  <c r="H52" i="1"/>
  <c r="J52" i="1" s="1"/>
  <c r="G52" i="1"/>
  <c r="K52" i="1" s="1"/>
  <c r="K51" i="1"/>
  <c r="J51" i="1"/>
  <c r="H51" i="1"/>
  <c r="G51" i="1"/>
  <c r="I51" i="1" s="1"/>
  <c r="H50" i="1"/>
  <c r="J50" i="1" s="1"/>
  <c r="G50" i="1"/>
  <c r="K50" i="1" s="1"/>
  <c r="J49" i="1"/>
  <c r="H49" i="1"/>
  <c r="G49" i="1"/>
  <c r="I49" i="1" s="1"/>
  <c r="H48" i="1"/>
  <c r="J48" i="1" s="1"/>
  <c r="G48" i="1"/>
  <c r="K48" i="1" s="1"/>
  <c r="J47" i="1"/>
  <c r="H47" i="1"/>
  <c r="G47" i="1"/>
  <c r="I47" i="1" s="1"/>
  <c r="H46" i="1"/>
  <c r="J46" i="1" s="1"/>
  <c r="G46" i="1"/>
  <c r="K46" i="1" s="1"/>
  <c r="K45" i="1"/>
  <c r="J45" i="1"/>
  <c r="H45" i="1"/>
  <c r="G22" i="3" s="1"/>
  <c r="I22" i="3" s="1"/>
  <c r="G45" i="1"/>
  <c r="H44" i="1"/>
  <c r="J44" i="1" s="1"/>
  <c r="G44" i="1"/>
  <c r="K44" i="1" s="1"/>
  <c r="J43" i="1"/>
  <c r="H43" i="1"/>
  <c r="G43" i="1"/>
  <c r="I43" i="1" s="1"/>
  <c r="H42" i="1"/>
  <c r="J42" i="1" s="1"/>
  <c r="G42" i="1"/>
  <c r="K42" i="1" s="1"/>
  <c r="K41" i="1"/>
  <c r="J41" i="1"/>
  <c r="H41" i="1"/>
  <c r="G41" i="1"/>
  <c r="I41" i="1" s="1"/>
  <c r="H40" i="1"/>
  <c r="J40" i="1" s="1"/>
  <c r="G40" i="1"/>
  <c r="K40" i="1" s="1"/>
  <c r="J39" i="1"/>
  <c r="H39" i="1"/>
  <c r="G39" i="1"/>
  <c r="I39" i="1" s="1"/>
  <c r="H38" i="1"/>
  <c r="J38" i="1" s="1"/>
  <c r="G38" i="1"/>
  <c r="K38" i="1" s="1"/>
  <c r="J37" i="1"/>
  <c r="H37" i="1"/>
  <c r="G37" i="1"/>
  <c r="I37" i="1" s="1"/>
  <c r="H36" i="1"/>
  <c r="J36" i="1" s="1"/>
  <c r="G36" i="1"/>
  <c r="K36" i="1" s="1"/>
  <c r="K35" i="1"/>
  <c r="J35" i="1"/>
  <c r="H35" i="1"/>
  <c r="G35" i="1"/>
  <c r="I35" i="1" s="1"/>
  <c r="H34" i="1"/>
  <c r="J34" i="1" s="1"/>
  <c r="G34" i="1"/>
  <c r="K34" i="1" s="1"/>
  <c r="J33" i="1"/>
  <c r="I33" i="1"/>
  <c r="H33" i="1"/>
  <c r="G33" i="1"/>
  <c r="K33" i="1" s="1"/>
  <c r="H32" i="1"/>
  <c r="J32" i="1" s="1"/>
  <c r="G32" i="1"/>
  <c r="K32" i="1" s="1"/>
  <c r="J31" i="1"/>
  <c r="H31" i="1"/>
  <c r="G31" i="1"/>
  <c r="I31" i="1" s="1"/>
  <c r="H30" i="1"/>
  <c r="J30" i="1" s="1"/>
  <c r="G30" i="1"/>
  <c r="K30" i="1" s="1"/>
  <c r="J29" i="1"/>
  <c r="H29" i="1"/>
  <c r="G29" i="1"/>
  <c r="I29" i="1" s="1"/>
  <c r="H28" i="1"/>
  <c r="J28" i="1" s="1"/>
  <c r="G28" i="1"/>
  <c r="K28" i="1" s="1"/>
  <c r="J27" i="1"/>
  <c r="H27" i="1"/>
  <c r="G27" i="1"/>
  <c r="I27" i="1" s="1"/>
  <c r="H26" i="1"/>
  <c r="J26" i="1" s="1"/>
  <c r="G26" i="1"/>
  <c r="K26" i="1" s="1"/>
  <c r="K25" i="1"/>
  <c r="J25" i="1"/>
  <c r="H25" i="1"/>
  <c r="G25" i="1"/>
  <c r="I25" i="1" s="1"/>
  <c r="H24" i="1"/>
  <c r="J24" i="1" s="1"/>
  <c r="G24" i="1"/>
  <c r="K24" i="1" s="1"/>
  <c r="J23" i="1"/>
  <c r="H23" i="1"/>
  <c r="G23" i="1"/>
  <c r="I23" i="1" s="1"/>
  <c r="H22" i="1"/>
  <c r="J22" i="1" s="1"/>
  <c r="G22" i="1"/>
  <c r="K22" i="1" s="1"/>
  <c r="J21" i="1"/>
  <c r="H21" i="1"/>
  <c r="G21" i="1"/>
  <c r="I21" i="1" s="1"/>
  <c r="H20" i="1"/>
  <c r="J20" i="1" s="1"/>
  <c r="G20" i="1"/>
  <c r="K20" i="1" s="1"/>
  <c r="J19" i="1"/>
  <c r="H19" i="1"/>
  <c r="G19" i="1"/>
  <c r="I19" i="1" s="1"/>
  <c r="H18" i="1"/>
  <c r="J18" i="1" s="1"/>
  <c r="G18" i="1"/>
  <c r="K18" i="1" s="1"/>
  <c r="J17" i="1"/>
  <c r="H17" i="1"/>
  <c r="G17" i="1"/>
  <c r="I17" i="1" s="1"/>
  <c r="H16" i="1"/>
  <c r="J16" i="1" s="1"/>
  <c r="G16" i="1"/>
  <c r="K16" i="1" s="1"/>
  <c r="K15" i="1"/>
  <c r="J15" i="1"/>
  <c r="H15" i="1"/>
  <c r="G15" i="1"/>
  <c r="I15" i="1" s="1"/>
  <c r="H14" i="1"/>
  <c r="J14" i="1" s="1"/>
  <c r="G14" i="1"/>
  <c r="K14" i="1" s="1"/>
  <c r="J13" i="1"/>
  <c r="H13" i="1"/>
  <c r="G13" i="1"/>
  <c r="I13" i="1" s="1"/>
  <c r="H12" i="1"/>
  <c r="J12" i="1" s="1"/>
  <c r="G12" i="1"/>
  <c r="K12" i="1" s="1"/>
  <c r="J11" i="1"/>
  <c r="H11" i="1"/>
  <c r="G11" i="1"/>
  <c r="I11" i="1" s="1"/>
  <c r="H10" i="1"/>
  <c r="J10" i="1" s="1"/>
  <c r="G10" i="1"/>
  <c r="J9" i="1"/>
  <c r="H9" i="1"/>
  <c r="G31" i="3" s="1"/>
  <c r="I31" i="3" s="1"/>
  <c r="C51" i="3" s="1"/>
  <c r="G9" i="1"/>
  <c r="K9" i="1" s="1"/>
  <c r="H8" i="1"/>
  <c r="J8" i="1" s="1"/>
  <c r="G8" i="1"/>
  <c r="K8" i="1" s="1"/>
  <c r="J7" i="1"/>
  <c r="H7" i="1"/>
  <c r="G21" i="3" s="1"/>
  <c r="I21" i="3" s="1"/>
  <c r="G7" i="1"/>
  <c r="H6" i="1"/>
  <c r="J6" i="1" s="1"/>
  <c r="G6" i="1"/>
  <c r="K6" i="1" s="1"/>
  <c r="K5" i="1"/>
  <c r="J5" i="1"/>
  <c r="H5" i="1"/>
  <c r="G7" i="3" s="1"/>
  <c r="G5" i="1"/>
  <c r="K79" i="1" l="1"/>
  <c r="I79" i="1"/>
  <c r="K83" i="1"/>
  <c r="I83" i="1"/>
  <c r="K87" i="1"/>
  <c r="I87" i="1"/>
  <c r="K19" i="1"/>
  <c r="C55" i="3"/>
  <c r="C50" i="3"/>
  <c r="C53" i="3"/>
  <c r="E12" i="3"/>
  <c r="F30" i="3"/>
  <c r="H30" i="3" s="1"/>
  <c r="K39" i="1"/>
  <c r="K49" i="1"/>
  <c r="K59" i="1"/>
  <c r="K69" i="1"/>
  <c r="K13" i="1"/>
  <c r="K43" i="1"/>
  <c r="K92" i="1"/>
  <c r="B26" i="2" s="1"/>
  <c r="F40" i="3"/>
  <c r="F7" i="3"/>
  <c r="B18" i="2"/>
  <c r="B5" i="2"/>
  <c r="B22" i="2"/>
  <c r="B21" i="2"/>
  <c r="B6" i="2"/>
  <c r="I5" i="1"/>
  <c r="F29" i="3"/>
  <c r="B14" i="2"/>
  <c r="K37" i="1"/>
  <c r="K47" i="1"/>
  <c r="K57" i="1"/>
  <c r="K67" i="1"/>
  <c r="K77" i="1"/>
  <c r="B23" i="3"/>
  <c r="F20" i="3"/>
  <c r="H20" i="3" s="1"/>
  <c r="F42" i="3"/>
  <c r="H42" i="3" s="1"/>
  <c r="F31" i="3"/>
  <c r="H31" i="3" s="1"/>
  <c r="I9" i="1"/>
  <c r="F9" i="3"/>
  <c r="H9" i="3" s="1"/>
  <c r="B12" i="3"/>
  <c r="F18" i="3"/>
  <c r="K29" i="1"/>
  <c r="F10" i="3"/>
  <c r="H10" i="3" s="1"/>
  <c r="F32" i="3"/>
  <c r="H32" i="3" s="1"/>
  <c r="F21" i="3"/>
  <c r="H21" i="3" s="1"/>
  <c r="F43" i="3"/>
  <c r="H43" i="3" s="1"/>
  <c r="I7" i="1"/>
  <c r="K23" i="1"/>
  <c r="B34" i="3"/>
  <c r="K53" i="1"/>
  <c r="K63" i="1"/>
  <c r="K73" i="1"/>
  <c r="K81" i="1"/>
  <c r="I81" i="1"/>
  <c r="K85" i="1"/>
  <c r="I85" i="1"/>
  <c r="K7" i="1"/>
  <c r="B25" i="2" s="1"/>
  <c r="K17" i="1"/>
  <c r="K27" i="1"/>
  <c r="I7" i="3"/>
  <c r="K11" i="1"/>
  <c r="K21" i="1"/>
  <c r="K31" i="1"/>
  <c r="F22" i="3"/>
  <c r="H22" i="3" s="1"/>
  <c r="F11" i="3"/>
  <c r="H11" i="3" s="1"/>
  <c r="F33" i="3"/>
  <c r="H33" i="3" s="1"/>
  <c r="I45" i="1"/>
  <c r="F44" i="3"/>
  <c r="H44" i="3" s="1"/>
  <c r="G89" i="1"/>
  <c r="F19" i="3"/>
  <c r="H19" i="3" s="1"/>
  <c r="B15" i="2"/>
  <c r="G9" i="3"/>
  <c r="I9" i="3" s="1"/>
  <c r="G19" i="3"/>
  <c r="I19" i="3" s="1"/>
  <c r="G29" i="3"/>
  <c r="G44" i="3"/>
  <c r="I44" i="3" s="1"/>
  <c r="I18" i="3"/>
  <c r="G42" i="3"/>
  <c r="I42" i="3" s="1"/>
  <c r="I6" i="1"/>
  <c r="I8" i="1"/>
  <c r="I10" i="1"/>
  <c r="I12" i="1"/>
  <c r="I14" i="1"/>
  <c r="I16" i="1"/>
  <c r="I18" i="1"/>
  <c r="I20" i="1"/>
  <c r="I22" i="1"/>
  <c r="I24" i="1"/>
  <c r="I26" i="1"/>
  <c r="I28" i="1"/>
  <c r="I30" i="1"/>
  <c r="I32" i="1"/>
  <c r="I34" i="1"/>
  <c r="I36" i="1"/>
  <c r="I38" i="1"/>
  <c r="I40" i="1"/>
  <c r="I42" i="1"/>
  <c r="I44" i="1"/>
  <c r="I46" i="1"/>
  <c r="I48" i="1"/>
  <c r="I50" i="1"/>
  <c r="I52" i="1"/>
  <c r="I54" i="1"/>
  <c r="I56" i="1"/>
  <c r="I58" i="1"/>
  <c r="I60" i="1"/>
  <c r="I62" i="1"/>
  <c r="I64" i="1"/>
  <c r="I66" i="1"/>
  <c r="I68" i="1"/>
  <c r="I70" i="1"/>
  <c r="I72" i="1"/>
  <c r="I74" i="1"/>
  <c r="I76" i="1"/>
  <c r="I78" i="1"/>
  <c r="I80" i="1"/>
  <c r="I82" i="1"/>
  <c r="I84" i="1"/>
  <c r="I86" i="1"/>
  <c r="I88" i="1"/>
  <c r="F41" i="3"/>
  <c r="H41" i="3" s="1"/>
  <c r="G32" i="3"/>
  <c r="I32" i="3" s="1"/>
  <c r="G11" i="3"/>
  <c r="I11" i="3" s="1"/>
  <c r="G41" i="3"/>
  <c r="I41" i="3" s="1"/>
  <c r="K10" i="1"/>
  <c r="I29" i="3" l="1"/>
  <c r="G34" i="3"/>
  <c r="I34" i="3" s="1"/>
  <c r="F34" i="3"/>
  <c r="H34" i="3" s="1"/>
  <c r="H29" i="3"/>
  <c r="G23" i="3"/>
  <c r="I23" i="3" s="1"/>
  <c r="H18" i="3"/>
  <c r="F23" i="3"/>
  <c r="H23" i="3" s="1"/>
  <c r="K89" i="1"/>
  <c r="G45" i="3"/>
  <c r="I45" i="3" s="1"/>
  <c r="G12" i="3"/>
  <c r="I12" i="3" s="1"/>
  <c r="I89" i="1"/>
  <c r="G92" i="1"/>
  <c r="H7" i="3"/>
  <c r="F12" i="3"/>
  <c r="H12" i="3" s="1"/>
  <c r="F45" i="3"/>
  <c r="H45" i="3" s="1"/>
  <c r="H40" i="3"/>
  <c r="C54" i="3" l="1"/>
  <c r="C52" i="3"/>
  <c r="C49" i="3"/>
</calcChain>
</file>

<file path=xl/sharedStrings.xml><?xml version="1.0" encoding="utf-8"?>
<sst xmlns="http://schemas.openxmlformats.org/spreadsheetml/2006/main" count="323" uniqueCount="178">
  <si>
    <t>School DRA/CSR Budget Comparison, FY26 to FY27</t>
  </si>
  <si>
    <t>Transcribed from photographs of a two-page School District of Lee County document. The source pages carry no title, date, author or department.</t>
  </si>
  <si>
    <t>School Code</t>
  </si>
  <si>
    <t>School</t>
  </si>
  <si>
    <t>Page</t>
  </si>
  <si>
    <t>FY26 Final DRA/CSR Budget</t>
  </si>
  <si>
    <t>FY27 Projected DRA/CSR Budget</t>
  </si>
  <si>
    <t>Bridge Funding</t>
  </si>
  <si>
    <t>Difference FY27 less FY26 (as printed)</t>
  </si>
  <si>
    <t>Difference Excluding Bridge Funding</t>
  </si>
  <si>
    <t>% Change (as printed)</t>
  </si>
  <si>
    <t>% Change Excluding Bridge</t>
  </si>
  <si>
    <t>Row Reconciles</t>
  </si>
  <si>
    <t>School Classification</t>
  </si>
  <si>
    <t>Allen Park</t>
  </si>
  <si>
    <t>Elementary</t>
  </si>
  <si>
    <t>Amanecer</t>
  </si>
  <si>
    <t>Bayshore School</t>
  </si>
  <si>
    <t>K-8</t>
  </si>
  <si>
    <t>Bonita Springs Elem</t>
  </si>
  <si>
    <t>Bonita Springs High</t>
  </si>
  <si>
    <t>High School</t>
  </si>
  <si>
    <t>Bonita Springs Middle</t>
  </si>
  <si>
    <t>Middle School</t>
  </si>
  <si>
    <t>Caloosa</t>
  </si>
  <si>
    <t>Caloosa Middle</t>
  </si>
  <si>
    <t>Cape Coral High</t>
  </si>
  <si>
    <t>Cape Elem</t>
  </si>
  <si>
    <t>Challenger Middle</t>
  </si>
  <si>
    <t>Colonial</t>
  </si>
  <si>
    <t>Cypress Lake High</t>
  </si>
  <si>
    <t>Cypress Lake Middle</t>
  </si>
  <si>
    <t>Diplomat</t>
  </si>
  <si>
    <t>Diplomat Middle</t>
  </si>
  <si>
    <t>Dunbar High</t>
  </si>
  <si>
    <t>East Lee County High</t>
  </si>
  <si>
    <t>Edgewood</t>
  </si>
  <si>
    <t>Edison Park</t>
  </si>
  <si>
    <t>Estero High</t>
  </si>
  <si>
    <t>Fort Myers Beach</t>
  </si>
  <si>
    <t>Fort Myers High</t>
  </si>
  <si>
    <t>Fort Myers Middle</t>
  </si>
  <si>
    <t>Franklin Park</t>
  </si>
  <si>
    <t>G. Weaver</t>
  </si>
  <si>
    <t>Gateway</t>
  </si>
  <si>
    <t>Gateway High</t>
  </si>
  <si>
    <t>Green Meadow</t>
  </si>
  <si>
    <t>Gulf</t>
  </si>
  <si>
    <t>Gulf Middle</t>
  </si>
  <si>
    <t>Hancock Creek</t>
  </si>
  <si>
    <t>Harns Marsh</t>
  </si>
  <si>
    <t>Harns Marsh Middle</t>
  </si>
  <si>
    <t>Hector Cafferata</t>
  </si>
  <si>
    <t>Heights</t>
  </si>
  <si>
    <t>Ida S Baker High</t>
  </si>
  <si>
    <t>Island Coast High</t>
  </si>
  <si>
    <t>J. Colin</t>
  </si>
  <si>
    <t>James Stephens</t>
  </si>
  <si>
    <t>Lee Virtual School</t>
  </si>
  <si>
    <t>Special Center</t>
  </si>
  <si>
    <t>Lehigh Acres Middle</t>
  </si>
  <si>
    <t>Lehigh Elem</t>
  </si>
  <si>
    <t>Lehigh Senior High</t>
  </si>
  <si>
    <t>Lemuel Teal Middle</t>
  </si>
  <si>
    <t>Lexington Middle</t>
  </si>
  <si>
    <t>Littleton</t>
  </si>
  <si>
    <t>Manatee</t>
  </si>
  <si>
    <t>Mariner High</t>
  </si>
  <si>
    <t>Mariner Middle</t>
  </si>
  <si>
    <t>Mirror Lakes</t>
  </si>
  <si>
    <t>N Fort Myers Academy</t>
  </si>
  <si>
    <t>North Fort Myers High</t>
  </si>
  <si>
    <t>Oak Hammock Middle</t>
  </si>
  <si>
    <t>Orange River</t>
  </si>
  <si>
    <t>Orangewood</t>
  </si>
  <si>
    <t>Patriot</t>
  </si>
  <si>
    <t>Paul Laurence Dunbar Middle</t>
  </si>
  <si>
    <t>Pelican</t>
  </si>
  <si>
    <t>Pine Island</t>
  </si>
  <si>
    <t>Pinewoods</t>
  </si>
  <si>
    <t>Ray V. Pottorf</t>
  </si>
  <si>
    <t>Rayma Page</t>
  </si>
  <si>
    <t>River Hall</t>
  </si>
  <si>
    <t>Riverdale High</t>
  </si>
  <si>
    <t>San Carlos Park</t>
  </si>
  <si>
    <t>Skyline</t>
  </si>
  <si>
    <t>South Fort Myers High</t>
  </si>
  <si>
    <t>Spring Creek</t>
  </si>
  <si>
    <t>Sunshine</t>
  </si>
  <si>
    <t>Tanglewood</t>
  </si>
  <si>
    <t>The Alva School</t>
  </si>
  <si>
    <t>The Sanibel School</t>
  </si>
  <si>
    <t>Three Oaks Elem</t>
  </si>
  <si>
    <t>Three Oaks Middle</t>
  </si>
  <si>
    <t>Tice Elementary</t>
  </si>
  <si>
    <t>Tortuga</t>
  </si>
  <si>
    <t>Trafalgar</t>
  </si>
  <si>
    <t>Trafalgar Middle</t>
  </si>
  <si>
    <t>Treeline</t>
  </si>
  <si>
    <t>Tropic Isles</t>
  </si>
  <si>
    <t>Varsity Lakes Middle</t>
  </si>
  <si>
    <t>Veterans Park</t>
  </si>
  <si>
    <t>Villas</t>
  </si>
  <si>
    <t>DISTRICT TOTAL</t>
  </si>
  <si>
    <t>TOTAL AS PRINTED ON SOURCE PAGE</t>
  </si>
  <si>
    <t>VARIANCE (ours less printed)</t>
  </si>
  <si>
    <t>Notes</t>
  </si>
  <si>
    <t>The source document's own 'Difference FY27 less FY26' column (column G here) is calculated as (FY27 Projected + Bridge Funding) - FY26 Final. Every transcribed row reconciles to the printed figure; column K verifies this row by row.</t>
  </si>
  <si>
    <t>Column H is NOT on the source document. It is the year-over-year change in the DRA/CSR budget alone, with bridge funding excluded. For schools receiving bridge funding, column H shows the larger decline.</t>
  </si>
  <si>
    <t>Bridge funding cells are shaded. The source document does not define bridge funding, state whether it is recurring or one-time, or identify its funding source.</t>
  </si>
  <si>
    <t>Green Meadow (code 40) has no FY26 figure on the source page. Percent change is shown as n/a.</t>
  </si>
  <si>
    <t>Some FY26 figures on the source pages carry a dollar sign and some do not. No pattern was apparent; the distinction is not reproduced here.</t>
  </si>
  <si>
    <t>Source is a photograph of a printed document, not a native file. Values were transcribed by eye. Verify against the original before publication.</t>
  </si>
  <si>
    <t>Summary</t>
  </si>
  <si>
    <t>All figures calculated from the data sheet.</t>
  </si>
  <si>
    <t>Schools in document</t>
  </si>
  <si>
    <t>Schools with a decrease (as printed)</t>
  </si>
  <si>
    <t>Schools with an increase (as printed)</t>
  </si>
  <si>
    <t>Schools receiving bridge funding</t>
  </si>
  <si>
    <t>Schools whose decline is understated by bridge funding</t>
  </si>
  <si>
    <t>Total FY26 Final DRA/CSR</t>
  </si>
  <si>
    <t>Total FY27 Projected DRA/CSR</t>
  </si>
  <si>
    <t>Total Bridge Funding</t>
  </si>
  <si>
    <t>Net change as the document presents it</t>
  </si>
  <si>
    <t>Net change in DRA/CSR budget alone</t>
  </si>
  <si>
    <t>Gap closed by bridge funding</t>
  </si>
  <si>
    <t>Percent change as presented</t>
  </si>
  <si>
    <t>Percent change excluding bridge funding</t>
  </si>
  <si>
    <t>Largest decrease (as printed)</t>
  </si>
  <si>
    <t>Largest increase (as printed)</t>
  </si>
  <si>
    <t>Largest bridge funding award</t>
  </si>
  <si>
    <t>Row-level reconciliation</t>
  </si>
  <si>
    <t>Total ties to printed document total</t>
  </si>
  <si>
    <t>DRA/CSR Change by School Level, FY26 to FY27</t>
  </si>
  <si>
    <t>Every figure below is a live formula reading the data sheet. Correct a value there and these update. School Level comes from column L of the data sheet.</t>
  </si>
  <si>
    <t>SCENARIO A — All 84 schools</t>
  </si>
  <si>
    <t>Every school in the document.</t>
  </si>
  <si>
    <t>School Level</t>
  </si>
  <si>
    <t>Schools</t>
  </si>
  <si>
    <t>FY26 Final</t>
  </si>
  <si>
    <t>FY27 Projected</t>
  </si>
  <si>
    <t>Change as Printed</t>
  </si>
  <si>
    <t>Change Excl. Bridge</t>
  </si>
  <si>
    <t>% as Printed</t>
  </si>
  <si>
    <t>% Excl. Bridge</t>
  </si>
  <si>
    <t>Median % Excl. Bridge</t>
  </si>
  <si>
    <t>TOTAL</t>
  </si>
  <si>
    <t>SCENARIO B — Excluding Fort Myers Beach</t>
  </si>
  <si>
    <t>Fort Myers Beach falls 75.8%, a change consistent with consolidation rather than a budget decision.</t>
  </si>
  <si>
    <t>SCENARIO C — Like-for-like (recommended)</t>
  </si>
  <si>
    <t>Also excludes Green Meadow, a new school with no FY26 budget. A year-over-year change cannot be computed for a school that did not exist in the base year.</t>
  </si>
  <si>
    <t>SCENARIO D — Like-for-like, also excluding Hector Cafferata (PENDING CONFIRMATION)</t>
  </si>
  <si>
    <t>Hector Cafferata appears to have converted from elementary to K-8; its +44% may reflect added grades rather than a funding decision. Not confirmed. Use Scenario C until the district confirms the conversion and its timing.</t>
  </si>
  <si>
    <t>Key comparison (Scenario C)</t>
  </si>
  <si>
    <t>Elementary, % excluding bridge</t>
  </si>
  <si>
    <t>Middle, % excluding bridge</t>
  </si>
  <si>
    <t>High, % excluding bridge</t>
  </si>
  <si>
    <t>Gap, elementary less high (percentage points)</t>
  </si>
  <si>
    <t>Gap, middle less high (percentage points)</t>
  </si>
  <si>
    <t>Elementary cut as a multiple of the high school cut</t>
  </si>
  <si>
    <t>Middle cut as a multiple of the high school cut</t>
  </si>
  <si>
    <t>Blue figures in the Median column are static values, not formulas. A conditional median requires an array formula, which is not used here. If any underlying figure is corrected, recompute the medians separately.</t>
  </si>
  <si>
    <t>Scenario C is the recommended basis. State both exclusions on the face of anything published: Fort Myers Beach (falls 75.8%, consistent with consolidation) and Green Meadow (new school, no FY26 budget).</t>
  </si>
  <si>
    <t>'Change as Printed' reproduces the source document, which adds bridge funding into the difference. 'Change Excl. Bridge' is the change in the DRA/CSR budget alone and is not on the source document.</t>
  </si>
  <si>
    <t>School Level is in column L of the data sheet. It is not stated on the source document. It was checked against the School District of Lee County school directory (leeschools.net/our_schools/schools); see the Classification Log tab.</t>
  </si>
  <si>
    <t>Classification Log</t>
  </si>
  <si>
    <t>Changes to column L after checking against the district's school directory.</t>
  </si>
  <si>
    <t>Code</t>
  </si>
  <si>
    <t>Original</t>
  </si>
  <si>
    <t>Corrected</t>
  </si>
  <si>
    <t>Basis</t>
  </si>
  <si>
    <t>Listed as K-8 on every district source: school list page and navigation menu.</t>
  </si>
  <si>
    <t>District navigation lists 'James Stephens Community School' under K-8. The district's own school list page still lists 'James Stephens Elementary School' - sources conflict. Confirm with district.</t>
  </si>
  <si>
    <t>K-12</t>
  </si>
  <si>
    <t>District files Lee Virtual under Special Centers. Label change only.</t>
  </si>
  <si>
    <t>K-8 (no change)</t>
  </si>
  <si>
    <t>District navigation and the school's own website use 'Hector A. Cafferata Jr. K-8 School'; the district list page still shows it as an elementary. Appears to have converted. Timing unconfirmed - see Scenario D.</t>
  </si>
  <si>
    <t>Directory checked September 2026: leeschools.net/our_schools/schools and the site navigation menu.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</si>
</sst>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;\-"/>
    <numFmt numFmtId="165" formatCode="0.0%"/>
    <numFmt numFmtId="166" formatCode="#,##0;\(#,##0\);\-"/>
    <numFmt numFmtId="167" formatCode="0.00\x"/>
  </numFmts>
  <fonts count="14" x14ac:knownFonts="1">
    <font>
      <sz val="11"/>
      <color theme="1"/>
      <name val="Calibri"/>
      <family val="2"/>
      <charset val="1"/>
    </font>
    <font>
      <b/>
      <sz val="13"/>
      <name val="Arial"/>
      <family val="2"/>
      <charset val="1"/>
    </font>
    <font>
      <i/>
      <sz val="9"/>
      <color rgb="FF666666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3"/>
      <name val="Arial"/>
      <family val="2"/>
    </font>
    <font>
      <i/>
      <sz val="9"/>
      <color rgb="FF66666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DEDED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165" fontId="4" fillId="0" borderId="1" xfId="0" applyNumberFormat="1" applyFont="1" applyBorder="1"/>
    <xf numFmtId="164" fontId="4" fillId="3" borderId="1" xfId="0" applyNumberFormat="1" applyFont="1" applyFill="1" applyBorder="1"/>
    <xf numFmtId="0" fontId="0" fillId="0" borderId="1" xfId="0" applyBorder="1"/>
    <xf numFmtId="0" fontId="3" fillId="2" borderId="1" xfId="0" applyFont="1" applyFill="1" applyBorder="1"/>
    <xf numFmtId="164" fontId="3" fillId="2" borderId="1" xfId="0" applyNumberFormat="1" applyFont="1" applyFill="1" applyBorder="1"/>
    <xf numFmtId="165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0" borderId="0" xfId="0" applyFont="1"/>
    <xf numFmtId="164" fontId="5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6" fillId="0" borderId="0" xfId="0" applyFont="1"/>
    <xf numFmtId="1" fontId="4" fillId="0" borderId="0" xfId="0" applyNumberFormat="1" applyFont="1"/>
    <xf numFmtId="164" fontId="4" fillId="0" borderId="0" xfId="0" applyNumberFormat="1" applyFont="1"/>
    <xf numFmtId="10" fontId="4" fillId="0" borderId="0" xfId="0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66" fontId="11" fillId="0" borderId="1" xfId="0" applyNumberFormat="1" applyFont="1" applyBorder="1"/>
    <xf numFmtId="10" fontId="11" fillId="0" borderId="1" xfId="0" applyNumberFormat="1" applyFont="1" applyBorder="1"/>
    <xf numFmtId="10" fontId="12" fillId="0" borderId="1" xfId="0" applyNumberFormat="1" applyFont="1" applyBorder="1"/>
    <xf numFmtId="0" fontId="10" fillId="4" borderId="1" xfId="0" applyFont="1" applyFill="1" applyBorder="1"/>
    <xf numFmtId="1" fontId="10" fillId="4" borderId="1" xfId="0" applyNumberFormat="1" applyFont="1" applyFill="1" applyBorder="1" applyAlignment="1">
      <alignment horizontal="center"/>
    </xf>
    <xf numFmtId="166" fontId="10" fillId="4" borderId="1" xfId="0" applyNumberFormat="1" applyFont="1" applyFill="1" applyBorder="1"/>
    <xf numFmtId="10" fontId="10" fillId="4" borderId="1" xfId="0" applyNumberFormat="1" applyFont="1" applyFill="1" applyBorder="1"/>
    <xf numFmtId="0" fontId="0" fillId="4" borderId="1" xfId="0" applyFill="1" applyBorder="1"/>
    <xf numFmtId="0" fontId="10" fillId="0" borderId="0" xfId="0" applyFont="1"/>
    <xf numFmtId="10" fontId="11" fillId="0" borderId="0" xfId="0" applyNumberFormat="1" applyFont="1"/>
    <xf numFmtId="2" fontId="11" fillId="0" borderId="0" xfId="0" applyNumberFormat="1" applyFont="1"/>
    <xf numFmtId="167" fontId="11" fillId="0" borderId="0" xfId="0" applyNumberFormat="1" applyFont="1"/>
    <xf numFmtId="0" fontId="13" fillId="0" borderId="0" xfId="0" applyFont="1"/>
    <xf numFmtId="0" fontId="10" fillId="2" borderId="1" xfId="0" applyFont="1" applyFill="1" applyBorder="1"/>
    <xf numFmtId="0" fontId="1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12" customWidth="1"/>
    <col min="2" max="2" width="30" customWidth="1"/>
    <col min="3" max="3" width="7" customWidth="1"/>
    <col min="4" max="4" width="24" customWidth="1"/>
    <col min="5" max="5" width="26" customWidth="1"/>
    <col min="6" max="6" width="16" customWidth="1"/>
    <col min="7" max="8" width="26" customWidth="1"/>
    <col min="9" max="9" width="16" customWidth="1"/>
    <col min="10" max="10" width="18" customWidth="1"/>
    <col min="11" max="11" width="14" customWidth="1"/>
  </cols>
  <sheetData>
    <row r="1" spans="1:12" ht="16.5" customHeight="1" x14ac:dyDescent="0.2">
      <c r="A1" s="1" t="s">
        <v>0</v>
      </c>
    </row>
    <row r="2" spans="1:12" ht="15" customHeight="1" x14ac:dyDescent="0.2">
      <c r="A2" s="2" t="s">
        <v>1</v>
      </c>
    </row>
    <row r="4" spans="1:12" ht="48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4" t="s">
        <v>13</v>
      </c>
    </row>
    <row r="5" spans="1:12" ht="15" customHeight="1" x14ac:dyDescent="0.2">
      <c r="A5" s="5">
        <v>81</v>
      </c>
      <c r="B5" s="5" t="s">
        <v>14</v>
      </c>
      <c r="C5" s="6">
        <v>1</v>
      </c>
      <c r="D5" s="7">
        <v>7251675</v>
      </c>
      <c r="E5" s="7">
        <v>6132840</v>
      </c>
      <c r="F5" s="7"/>
      <c r="G5" s="7">
        <f t="shared" ref="G5:G36" si="0">(E5+IFERROR(F5,0))-IFERROR(D5,0)</f>
        <v>-1118835</v>
      </c>
      <c r="H5" s="7">
        <f t="shared" ref="H5:H36" si="1">E5-IFERROR(D5,0)</f>
        <v>-1118835</v>
      </c>
      <c r="I5" s="8">
        <f t="shared" ref="I5:I36" si="2">IF(N(D5)=0,"n/a",G5/D5)</f>
        <v>-0.15428642348147154</v>
      </c>
      <c r="J5" s="8">
        <f t="shared" ref="J5:J36" si="3">IF(N(D5)=0,"n/a",H5/D5)</f>
        <v>-0.15428642348147154</v>
      </c>
      <c r="K5" s="6" t="str">
        <f>IF(ABS(G5--1118835)&lt;0.005,"OK","CHECK")</f>
        <v>OK</v>
      </c>
      <c r="L5" t="s">
        <v>15</v>
      </c>
    </row>
    <row r="6" spans="1:12" ht="15" customHeight="1" x14ac:dyDescent="0.2">
      <c r="A6" s="5">
        <v>481</v>
      </c>
      <c r="B6" s="5" t="s">
        <v>16</v>
      </c>
      <c r="C6" s="6">
        <v>1</v>
      </c>
      <c r="D6" s="7">
        <v>8730955</v>
      </c>
      <c r="E6" s="7">
        <v>8240770</v>
      </c>
      <c r="F6" s="7"/>
      <c r="G6" s="7">
        <f t="shared" si="0"/>
        <v>-490185</v>
      </c>
      <c r="H6" s="7">
        <f t="shared" si="1"/>
        <v>-490185</v>
      </c>
      <c r="I6" s="8">
        <f t="shared" si="2"/>
        <v>-5.6143342853101408E-2</v>
      </c>
      <c r="J6" s="8">
        <f t="shared" si="3"/>
        <v>-5.6143342853101408E-2</v>
      </c>
      <c r="K6" s="6" t="str">
        <f>IF(ABS(G6--490185)&lt;0.005,"OK","CHECK")</f>
        <v>OK</v>
      </c>
      <c r="L6" t="s">
        <v>15</v>
      </c>
    </row>
    <row r="7" spans="1:12" ht="15" customHeight="1" x14ac:dyDescent="0.2">
      <c r="A7" s="5">
        <v>521</v>
      </c>
      <c r="B7" s="5" t="s">
        <v>17</v>
      </c>
      <c r="C7" s="6">
        <v>1</v>
      </c>
      <c r="D7" s="7">
        <v>5921278</v>
      </c>
      <c r="E7" s="7">
        <v>6579936</v>
      </c>
      <c r="F7" s="9">
        <v>56347</v>
      </c>
      <c r="G7" s="7">
        <f t="shared" si="0"/>
        <v>715005</v>
      </c>
      <c r="H7" s="7">
        <f t="shared" si="1"/>
        <v>658658</v>
      </c>
      <c r="I7" s="8">
        <f t="shared" si="2"/>
        <v>0.12075180391800554</v>
      </c>
      <c r="J7" s="8">
        <f t="shared" si="3"/>
        <v>0.11123578389665204</v>
      </c>
      <c r="K7" s="6" t="str">
        <f>IF(ABS(G7-715005)&lt;0.005,"OK","CHECK")</f>
        <v>OK</v>
      </c>
      <c r="L7" t="s">
        <v>18</v>
      </c>
    </row>
    <row r="8" spans="1:12" ht="15" customHeight="1" x14ac:dyDescent="0.2">
      <c r="A8" s="5">
        <v>121</v>
      </c>
      <c r="B8" s="5" t="s">
        <v>19</v>
      </c>
      <c r="C8" s="6">
        <v>1</v>
      </c>
      <c r="D8" s="7">
        <v>3618262</v>
      </c>
      <c r="E8" s="7">
        <v>3130810</v>
      </c>
      <c r="F8" s="9">
        <v>161320</v>
      </c>
      <c r="G8" s="7">
        <f t="shared" si="0"/>
        <v>-326132</v>
      </c>
      <c r="H8" s="7">
        <f t="shared" si="1"/>
        <v>-487452</v>
      </c>
      <c r="I8" s="8">
        <f t="shared" si="2"/>
        <v>-9.0134987460830637E-2</v>
      </c>
      <c r="J8" s="8">
        <f t="shared" si="3"/>
        <v>-0.13471992907091859</v>
      </c>
      <c r="K8" s="6" t="str">
        <f>IF(ABS(G8--326132)&lt;0.005,"OK","CHECK")</f>
        <v>OK</v>
      </c>
      <c r="L8" t="s">
        <v>15</v>
      </c>
    </row>
    <row r="9" spans="1:12" ht="15" customHeight="1" x14ac:dyDescent="0.2">
      <c r="A9" s="5">
        <v>841</v>
      </c>
      <c r="B9" s="5" t="s">
        <v>20</v>
      </c>
      <c r="C9" s="6">
        <v>1</v>
      </c>
      <c r="D9" s="7">
        <v>8733632.4600000009</v>
      </c>
      <c r="E9" s="7">
        <v>7597952</v>
      </c>
      <c r="F9" s="9">
        <v>95027</v>
      </c>
      <c r="G9" s="7">
        <f t="shared" si="0"/>
        <v>-1040653.4600000009</v>
      </c>
      <c r="H9" s="7">
        <f t="shared" si="1"/>
        <v>-1135680.4600000009</v>
      </c>
      <c r="I9" s="8">
        <f t="shared" si="2"/>
        <v>-0.11915471194445029</v>
      </c>
      <c r="J9" s="8">
        <f t="shared" si="3"/>
        <v>-0.13003529347054762</v>
      </c>
      <c r="K9" s="6" t="str">
        <f>IF(ABS(G9--1040653.46)&lt;0.005,"OK","CHECK")</f>
        <v>OK</v>
      </c>
      <c r="L9" t="s">
        <v>21</v>
      </c>
    </row>
    <row r="10" spans="1:12" ht="15" customHeight="1" x14ac:dyDescent="0.2">
      <c r="A10" s="5">
        <v>611</v>
      </c>
      <c r="B10" s="5" t="s">
        <v>22</v>
      </c>
      <c r="C10" s="6">
        <v>1</v>
      </c>
      <c r="D10" s="7">
        <v>4891151.8499999996</v>
      </c>
      <c r="E10" s="7">
        <v>4209695</v>
      </c>
      <c r="F10" s="9">
        <v>157776</v>
      </c>
      <c r="G10" s="7">
        <f t="shared" si="0"/>
        <v>-523680.84999999963</v>
      </c>
      <c r="H10" s="7">
        <f t="shared" si="1"/>
        <v>-681456.84999999963</v>
      </c>
      <c r="I10" s="8">
        <f t="shared" si="2"/>
        <v>-0.10706697850732229</v>
      </c>
      <c r="J10" s="8">
        <f t="shared" si="3"/>
        <v>-0.13932441087471037</v>
      </c>
      <c r="K10" s="6" t="str">
        <f>IF(ABS(G10--523680.85)&lt;0.005,"OK","CHECK")</f>
        <v>OK</v>
      </c>
      <c r="L10" t="s">
        <v>23</v>
      </c>
    </row>
    <row r="11" spans="1:12" ht="15" customHeight="1" x14ac:dyDescent="0.2">
      <c r="A11" s="5">
        <v>571</v>
      </c>
      <c r="B11" s="5" t="s">
        <v>24</v>
      </c>
      <c r="C11" s="6">
        <v>1</v>
      </c>
      <c r="D11" s="7">
        <v>8180790</v>
      </c>
      <c r="E11" s="7">
        <v>8364716</v>
      </c>
      <c r="F11" s="7"/>
      <c r="G11" s="7">
        <f t="shared" si="0"/>
        <v>183926</v>
      </c>
      <c r="H11" s="7">
        <f t="shared" si="1"/>
        <v>183926</v>
      </c>
      <c r="I11" s="8">
        <f t="shared" si="2"/>
        <v>2.2482669766611781E-2</v>
      </c>
      <c r="J11" s="8">
        <f t="shared" si="3"/>
        <v>2.2482669766611781E-2</v>
      </c>
      <c r="K11" s="6" t="str">
        <f>IF(ABS(G11-183926)&lt;0.005,"OK","CHECK")</f>
        <v>OK</v>
      </c>
      <c r="L11" t="s">
        <v>15</v>
      </c>
    </row>
    <row r="12" spans="1:12" ht="15" customHeight="1" x14ac:dyDescent="0.2">
      <c r="A12" s="5">
        <v>572</v>
      </c>
      <c r="B12" s="5" t="s">
        <v>25</v>
      </c>
      <c r="C12" s="6">
        <v>1</v>
      </c>
      <c r="D12" s="7">
        <v>7478609.3399999999</v>
      </c>
      <c r="E12" s="7">
        <v>6522789</v>
      </c>
      <c r="F12" s="7"/>
      <c r="G12" s="7">
        <f t="shared" si="0"/>
        <v>-955820.33999999985</v>
      </c>
      <c r="H12" s="7">
        <f t="shared" si="1"/>
        <v>-955820.33999999985</v>
      </c>
      <c r="I12" s="8">
        <f t="shared" si="2"/>
        <v>-0.12780722946547171</v>
      </c>
      <c r="J12" s="8">
        <f t="shared" si="3"/>
        <v>-0.12780722946547171</v>
      </c>
      <c r="K12" s="6" t="str">
        <f>IF(ABS(G12--955820.34)&lt;0.005,"OK","CHECK")</f>
        <v>OK</v>
      </c>
      <c r="L12" t="s">
        <v>23</v>
      </c>
    </row>
    <row r="13" spans="1:12" ht="15" customHeight="1" x14ac:dyDescent="0.2">
      <c r="A13" s="5">
        <v>621</v>
      </c>
      <c r="B13" s="5" t="s">
        <v>26</v>
      </c>
      <c r="C13" s="6">
        <v>1</v>
      </c>
      <c r="D13" s="7">
        <v>11287084.880000001</v>
      </c>
      <c r="E13" s="7">
        <v>11082327.199999999</v>
      </c>
      <c r="F13" s="9">
        <v>95027</v>
      </c>
      <c r="G13" s="7">
        <f t="shared" si="0"/>
        <v>-109730.68000000156</v>
      </c>
      <c r="H13" s="7">
        <f t="shared" si="1"/>
        <v>-204757.68000000156</v>
      </c>
      <c r="I13" s="8">
        <f t="shared" si="2"/>
        <v>-9.7217909820486396E-3</v>
      </c>
      <c r="J13" s="8">
        <f t="shared" si="3"/>
        <v>-1.8140882449003214E-2</v>
      </c>
      <c r="K13" s="6" t="str">
        <f>IF(ABS(G13--109730.68)&lt;0.005,"OK","CHECK")</f>
        <v>OK</v>
      </c>
      <c r="L13" t="s">
        <v>21</v>
      </c>
    </row>
    <row r="14" spans="1:12" ht="15" customHeight="1" x14ac:dyDescent="0.2">
      <c r="A14" s="5">
        <v>131</v>
      </c>
      <c r="B14" s="5" t="s">
        <v>27</v>
      </c>
      <c r="C14" s="6">
        <v>1</v>
      </c>
      <c r="D14" s="7">
        <v>6530666</v>
      </c>
      <c r="E14" s="7">
        <v>6238466</v>
      </c>
      <c r="F14" s="7"/>
      <c r="G14" s="7">
        <f t="shared" si="0"/>
        <v>-292200</v>
      </c>
      <c r="H14" s="7">
        <f t="shared" si="1"/>
        <v>-292200</v>
      </c>
      <c r="I14" s="8">
        <f t="shared" si="2"/>
        <v>-4.4742756711183822E-2</v>
      </c>
      <c r="J14" s="8">
        <f t="shared" si="3"/>
        <v>-4.4742756711183822E-2</v>
      </c>
      <c r="K14" s="6" t="str">
        <f>IF(ABS(G14--292200)&lt;0.005,"OK","CHECK")</f>
        <v>OK</v>
      </c>
      <c r="L14" t="s">
        <v>15</v>
      </c>
    </row>
    <row r="15" spans="1:12" ht="15" customHeight="1" x14ac:dyDescent="0.2">
      <c r="A15" s="5">
        <v>133</v>
      </c>
      <c r="B15" s="5" t="s">
        <v>28</v>
      </c>
      <c r="C15" s="6">
        <v>1</v>
      </c>
      <c r="D15" s="7">
        <v>6689346.0300000003</v>
      </c>
      <c r="E15" s="7">
        <v>6836194.1900000004</v>
      </c>
      <c r="F15" s="7"/>
      <c r="G15" s="7">
        <f t="shared" si="0"/>
        <v>146848.16000000015</v>
      </c>
      <c r="H15" s="7">
        <f t="shared" si="1"/>
        <v>146848.16000000015</v>
      </c>
      <c r="I15" s="8">
        <f t="shared" si="2"/>
        <v>2.1952543543333508E-2</v>
      </c>
      <c r="J15" s="8">
        <f t="shared" si="3"/>
        <v>2.1952543543333508E-2</v>
      </c>
      <c r="K15" s="6" t="str">
        <f>IF(ABS(G15-146848.16)&lt;0.005,"OK","CHECK")</f>
        <v>OK</v>
      </c>
      <c r="L15" t="s">
        <v>23</v>
      </c>
    </row>
    <row r="16" spans="1:12" ht="15" customHeight="1" x14ac:dyDescent="0.2">
      <c r="A16" s="5">
        <v>781</v>
      </c>
      <c r="B16" s="5" t="s">
        <v>29</v>
      </c>
      <c r="C16" s="6">
        <v>1</v>
      </c>
      <c r="D16" s="7">
        <v>5981962</v>
      </c>
      <c r="E16" s="7">
        <v>5614636</v>
      </c>
      <c r="F16" s="7"/>
      <c r="G16" s="7">
        <f t="shared" si="0"/>
        <v>-367326</v>
      </c>
      <c r="H16" s="7">
        <f t="shared" si="1"/>
        <v>-367326</v>
      </c>
      <c r="I16" s="8">
        <f t="shared" si="2"/>
        <v>-6.1405605719327537E-2</v>
      </c>
      <c r="J16" s="8">
        <f t="shared" si="3"/>
        <v>-6.1405605719327537E-2</v>
      </c>
      <c r="K16" s="6" t="str">
        <f>IF(ABS(G16--367326)&lt;0.005,"OK","CHECK")</f>
        <v>OK</v>
      </c>
      <c r="L16" t="s">
        <v>15</v>
      </c>
    </row>
    <row r="17" spans="1:12" ht="15" customHeight="1" x14ac:dyDescent="0.2">
      <c r="A17" s="5">
        <v>531</v>
      </c>
      <c r="B17" s="5" t="s">
        <v>30</v>
      </c>
      <c r="C17" s="6">
        <v>1</v>
      </c>
      <c r="D17" s="7">
        <v>8770176.3100000005</v>
      </c>
      <c r="E17" s="7">
        <v>7397254.2000000002</v>
      </c>
      <c r="F17" s="9">
        <v>263378</v>
      </c>
      <c r="G17" s="7">
        <f t="shared" si="0"/>
        <v>-1109544.1100000003</v>
      </c>
      <c r="H17" s="7">
        <f t="shared" si="1"/>
        <v>-1372922.1100000003</v>
      </c>
      <c r="I17" s="8">
        <f t="shared" si="2"/>
        <v>-0.12651331863589413</v>
      </c>
      <c r="J17" s="8">
        <f t="shared" si="3"/>
        <v>-0.15654441387165227</v>
      </c>
      <c r="K17" s="6" t="str">
        <f>IF(ABS(G17--1109544.11)&lt;0.005,"OK","CHECK")</f>
        <v>OK</v>
      </c>
      <c r="L17" t="s">
        <v>21</v>
      </c>
    </row>
    <row r="18" spans="1:12" ht="15" customHeight="1" x14ac:dyDescent="0.2">
      <c r="A18" s="5">
        <v>141</v>
      </c>
      <c r="B18" s="5" t="s">
        <v>31</v>
      </c>
      <c r="C18" s="6">
        <v>1</v>
      </c>
      <c r="D18" s="7">
        <v>5951152.5</v>
      </c>
      <c r="E18" s="7">
        <v>5802303</v>
      </c>
      <c r="F18" s="9">
        <v>95027</v>
      </c>
      <c r="G18" s="7">
        <f t="shared" si="0"/>
        <v>-53822.5</v>
      </c>
      <c r="H18" s="7">
        <f t="shared" si="1"/>
        <v>-148849.5</v>
      </c>
      <c r="I18" s="8">
        <f t="shared" si="2"/>
        <v>-9.0440465103187994E-3</v>
      </c>
      <c r="J18" s="8">
        <f t="shared" si="3"/>
        <v>-2.5011877951371605E-2</v>
      </c>
      <c r="K18" s="6" t="str">
        <f>IF(ABS(G18--53822.5)&lt;0.005,"OK","CHECK")</f>
        <v>OK</v>
      </c>
      <c r="L18" t="s">
        <v>23</v>
      </c>
    </row>
    <row r="19" spans="1:12" ht="15" customHeight="1" x14ac:dyDescent="0.2">
      <c r="A19" s="5">
        <v>771</v>
      </c>
      <c r="B19" s="5" t="s">
        <v>32</v>
      </c>
      <c r="C19" s="6">
        <v>1</v>
      </c>
      <c r="D19" s="7">
        <v>8018312</v>
      </c>
      <c r="E19" s="7">
        <v>8003501</v>
      </c>
      <c r="F19" s="7"/>
      <c r="G19" s="7">
        <f t="shared" si="0"/>
        <v>-14811</v>
      </c>
      <c r="H19" s="7">
        <f t="shared" si="1"/>
        <v>-14811</v>
      </c>
      <c r="I19" s="8">
        <f t="shared" si="2"/>
        <v>-1.8471468807898721E-3</v>
      </c>
      <c r="J19" s="8">
        <f t="shared" si="3"/>
        <v>-1.8471468807898721E-3</v>
      </c>
      <c r="K19" s="6" t="str">
        <f>IF(ABS(G19--14811)&lt;0.005,"OK","CHECK")</f>
        <v>OK</v>
      </c>
      <c r="L19" t="s">
        <v>15</v>
      </c>
    </row>
    <row r="20" spans="1:12" ht="15" customHeight="1" x14ac:dyDescent="0.2">
      <c r="A20" s="5">
        <v>772</v>
      </c>
      <c r="B20" s="5" t="s">
        <v>33</v>
      </c>
      <c r="C20" s="6">
        <v>1</v>
      </c>
      <c r="D20" s="7">
        <v>7536026.6299999999</v>
      </c>
      <c r="E20" s="7">
        <v>6951087</v>
      </c>
      <c r="F20" s="7"/>
      <c r="G20" s="7">
        <f t="shared" si="0"/>
        <v>-584939.62999999989</v>
      </c>
      <c r="H20" s="7">
        <f t="shared" si="1"/>
        <v>-584939.62999999989</v>
      </c>
      <c r="I20" s="8">
        <f t="shared" si="2"/>
        <v>-7.761910337092319E-2</v>
      </c>
      <c r="J20" s="8">
        <f t="shared" si="3"/>
        <v>-7.761910337092319E-2</v>
      </c>
      <c r="K20" s="6" t="str">
        <f>IF(ABS(G20--584939.63)&lt;0.005,"OK","CHECK")</f>
        <v>OK</v>
      </c>
      <c r="L20" t="s">
        <v>23</v>
      </c>
    </row>
    <row r="21" spans="1:12" ht="15" customHeight="1" x14ac:dyDescent="0.2">
      <c r="A21" s="5">
        <v>831</v>
      </c>
      <c r="B21" s="5" t="s">
        <v>34</v>
      </c>
      <c r="C21" s="6">
        <v>1</v>
      </c>
      <c r="D21" s="7">
        <v>10276716.539999999</v>
      </c>
      <c r="E21" s="7">
        <v>9758715</v>
      </c>
      <c r="F21" s="9">
        <v>204578</v>
      </c>
      <c r="G21" s="7">
        <f t="shared" si="0"/>
        <v>-313423.53999999911</v>
      </c>
      <c r="H21" s="7">
        <f t="shared" si="1"/>
        <v>-518001.53999999911</v>
      </c>
      <c r="I21" s="8">
        <f t="shared" si="2"/>
        <v>-3.049841248224203E-2</v>
      </c>
      <c r="J21" s="8">
        <f t="shared" si="3"/>
        <v>-5.0405354471322134E-2</v>
      </c>
      <c r="K21" s="6" t="str">
        <f>IF(ABS(G21--313423.54)&lt;0.005,"OK","CHECK")</f>
        <v>OK</v>
      </c>
      <c r="L21" t="s">
        <v>21</v>
      </c>
    </row>
    <row r="22" spans="1:12" ht="15" customHeight="1" x14ac:dyDescent="0.2">
      <c r="A22" s="5">
        <v>745</v>
      </c>
      <c r="B22" s="5" t="s">
        <v>35</v>
      </c>
      <c r="C22" s="6">
        <v>1</v>
      </c>
      <c r="D22" s="7">
        <v>13525295.68</v>
      </c>
      <c r="E22" s="7">
        <v>12626664.6</v>
      </c>
      <c r="F22" s="9">
        <v>245409</v>
      </c>
      <c r="G22" s="7">
        <f t="shared" si="0"/>
        <v>-653222.08000000007</v>
      </c>
      <c r="H22" s="7">
        <f t="shared" si="1"/>
        <v>-898631.08000000007</v>
      </c>
      <c r="I22" s="8">
        <f t="shared" si="2"/>
        <v>-4.8296325304438746E-2</v>
      </c>
      <c r="J22" s="8">
        <f t="shared" si="3"/>
        <v>-6.6440771518867084E-2</v>
      </c>
      <c r="K22" s="6" t="str">
        <f>IF(ABS(G22--653222.08)&lt;0.005,"OK","CHECK")</f>
        <v>OK</v>
      </c>
      <c r="L22" t="s">
        <v>21</v>
      </c>
    </row>
    <row r="23" spans="1:12" ht="15" customHeight="1" x14ac:dyDescent="0.2">
      <c r="A23" s="5">
        <v>181</v>
      </c>
      <c r="B23" s="5" t="s">
        <v>36</v>
      </c>
      <c r="C23" s="6">
        <v>1</v>
      </c>
      <c r="D23" s="7">
        <v>5056013</v>
      </c>
      <c r="E23" s="7">
        <v>4222074</v>
      </c>
      <c r="F23" s="9">
        <v>153784</v>
      </c>
      <c r="G23" s="7">
        <f t="shared" si="0"/>
        <v>-680155</v>
      </c>
      <c r="H23" s="7">
        <f t="shared" si="1"/>
        <v>-833939</v>
      </c>
      <c r="I23" s="8">
        <f t="shared" si="2"/>
        <v>-0.13452398164324339</v>
      </c>
      <c r="J23" s="8">
        <f t="shared" si="3"/>
        <v>-0.16494004267789661</v>
      </c>
      <c r="K23" s="6" t="str">
        <f>IF(ABS(G23--680155)&lt;0.005,"OK","CHECK")</f>
        <v>OK</v>
      </c>
      <c r="L23" t="s">
        <v>15</v>
      </c>
    </row>
    <row r="24" spans="1:12" ht="15" customHeight="1" x14ac:dyDescent="0.2">
      <c r="A24" s="5">
        <v>191</v>
      </c>
      <c r="B24" s="5" t="s">
        <v>37</v>
      </c>
      <c r="C24" s="6">
        <v>1</v>
      </c>
      <c r="D24" s="7">
        <v>3819716</v>
      </c>
      <c r="E24" s="7">
        <v>3391349</v>
      </c>
      <c r="F24" s="9">
        <v>125436</v>
      </c>
      <c r="G24" s="7">
        <f t="shared" si="0"/>
        <v>-302931</v>
      </c>
      <c r="H24" s="7">
        <f t="shared" si="1"/>
        <v>-428367</v>
      </c>
      <c r="I24" s="8">
        <f t="shared" si="2"/>
        <v>-7.9307205038280329E-2</v>
      </c>
      <c r="J24" s="8">
        <f t="shared" si="3"/>
        <v>-0.11214629569318767</v>
      </c>
      <c r="K24" s="6" t="str">
        <f>IF(ABS(G24--302931)&lt;0.005,"OK","CHECK")</f>
        <v>OK</v>
      </c>
      <c r="L24" t="s">
        <v>15</v>
      </c>
    </row>
    <row r="25" spans="1:12" ht="15" customHeight="1" x14ac:dyDescent="0.2">
      <c r="A25" s="5">
        <v>731</v>
      </c>
      <c r="B25" s="5" t="s">
        <v>38</v>
      </c>
      <c r="C25" s="6">
        <v>1</v>
      </c>
      <c r="D25" s="7">
        <v>9123610.4800000004</v>
      </c>
      <c r="E25" s="7">
        <v>9042468.4000000004</v>
      </c>
      <c r="F25" s="7"/>
      <c r="G25" s="7">
        <f t="shared" si="0"/>
        <v>-81142.080000000075</v>
      </c>
      <c r="H25" s="7">
        <f t="shared" si="1"/>
        <v>-81142.080000000075</v>
      </c>
      <c r="I25" s="8">
        <f t="shared" si="2"/>
        <v>-8.8936370286601795E-3</v>
      </c>
      <c r="J25" s="8">
        <f t="shared" si="3"/>
        <v>-8.8936370286601795E-3</v>
      </c>
      <c r="K25" s="6" t="str">
        <f>IF(ABS(G25--81142.08)&lt;0.005,"OK","CHECK")</f>
        <v>OK</v>
      </c>
      <c r="L25" t="s">
        <v>21</v>
      </c>
    </row>
    <row r="26" spans="1:12" ht="15" customHeight="1" x14ac:dyDescent="0.2">
      <c r="A26" s="5">
        <v>201</v>
      </c>
      <c r="B26" s="5" t="s">
        <v>39</v>
      </c>
      <c r="C26" s="6">
        <v>1</v>
      </c>
      <c r="D26" s="7">
        <v>1004548</v>
      </c>
      <c r="E26" s="7">
        <v>243173</v>
      </c>
      <c r="F26" s="7"/>
      <c r="G26" s="7">
        <f t="shared" si="0"/>
        <v>-761375</v>
      </c>
      <c r="H26" s="7">
        <f t="shared" si="1"/>
        <v>-761375</v>
      </c>
      <c r="I26" s="8">
        <f t="shared" si="2"/>
        <v>-0.75792794371199779</v>
      </c>
      <c r="J26" s="8">
        <f t="shared" si="3"/>
        <v>-0.75792794371199779</v>
      </c>
      <c r="K26" s="6" t="str">
        <f>IF(ABS(G26--761375)&lt;0.005,"OK","CHECK")</f>
        <v>OK</v>
      </c>
      <c r="L26" t="s">
        <v>15</v>
      </c>
    </row>
    <row r="27" spans="1:12" ht="15" customHeight="1" x14ac:dyDescent="0.2">
      <c r="A27" s="5">
        <v>221</v>
      </c>
      <c r="B27" s="5" t="s">
        <v>40</v>
      </c>
      <c r="C27" s="6">
        <v>1</v>
      </c>
      <c r="D27" s="7">
        <v>9559430.1799999997</v>
      </c>
      <c r="E27" s="7">
        <v>9712505</v>
      </c>
      <c r="F27" s="9">
        <v>93320</v>
      </c>
      <c r="G27" s="7">
        <f t="shared" si="0"/>
        <v>246394.8200000003</v>
      </c>
      <c r="H27" s="7">
        <f t="shared" si="1"/>
        <v>153074.8200000003</v>
      </c>
      <c r="I27" s="8">
        <f t="shared" si="2"/>
        <v>2.577505304819333E-2</v>
      </c>
      <c r="J27" s="8">
        <f t="shared" si="3"/>
        <v>1.6012964906659353E-2</v>
      </c>
      <c r="K27" s="6" t="str">
        <f>IF(ABS(G27-246394.82)&lt;0.005,"OK","CHECK")</f>
        <v>OK</v>
      </c>
      <c r="L27" t="s">
        <v>21</v>
      </c>
    </row>
    <row r="28" spans="1:12" ht="15" customHeight="1" x14ac:dyDescent="0.2">
      <c r="A28" s="5">
        <v>211</v>
      </c>
      <c r="B28" s="5" t="s">
        <v>41</v>
      </c>
      <c r="C28" s="6">
        <v>1</v>
      </c>
      <c r="D28" s="7">
        <v>4974763.8899999997</v>
      </c>
      <c r="E28" s="7">
        <v>4403457</v>
      </c>
      <c r="F28" s="9">
        <v>229726</v>
      </c>
      <c r="G28" s="7">
        <f t="shared" si="0"/>
        <v>-341580.88999999966</v>
      </c>
      <c r="H28" s="7">
        <f t="shared" si="1"/>
        <v>-571306.88999999966</v>
      </c>
      <c r="I28" s="8">
        <f t="shared" si="2"/>
        <v>-6.86627340619375E-2</v>
      </c>
      <c r="J28" s="8">
        <f t="shared" si="3"/>
        <v>-0.11484100605224898</v>
      </c>
      <c r="K28" s="6" t="str">
        <f>IF(ABS(G28--341580.89)&lt;0.005,"OK","CHECK")</f>
        <v>OK</v>
      </c>
      <c r="L28" t="s">
        <v>23</v>
      </c>
    </row>
    <row r="29" spans="1:12" ht="15" customHeight="1" x14ac:dyDescent="0.2">
      <c r="A29" s="5">
        <v>251</v>
      </c>
      <c r="B29" s="5" t="s">
        <v>42</v>
      </c>
      <c r="C29" s="6">
        <v>1</v>
      </c>
      <c r="D29" s="7">
        <v>4190862</v>
      </c>
      <c r="E29" s="7">
        <v>3611107</v>
      </c>
      <c r="F29" s="9">
        <v>190054</v>
      </c>
      <c r="G29" s="7">
        <f t="shared" si="0"/>
        <v>-389701</v>
      </c>
      <c r="H29" s="7">
        <f t="shared" si="1"/>
        <v>-579755</v>
      </c>
      <c r="I29" s="8">
        <f t="shared" si="2"/>
        <v>-9.2988268284663153E-2</v>
      </c>
      <c r="J29" s="8">
        <f t="shared" si="3"/>
        <v>-0.13833788848213088</v>
      </c>
      <c r="K29" s="6" t="str">
        <f>IF(ABS(G29--389701)&lt;0.005,"OK","CHECK")</f>
        <v>OK</v>
      </c>
      <c r="L29" t="s">
        <v>15</v>
      </c>
    </row>
    <row r="30" spans="1:12" ht="15" customHeight="1" x14ac:dyDescent="0.2">
      <c r="A30" s="5">
        <v>291</v>
      </c>
      <c r="B30" s="5" t="s">
        <v>43</v>
      </c>
      <c r="C30" s="6">
        <v>1</v>
      </c>
      <c r="D30" s="7">
        <v>6838163</v>
      </c>
      <c r="E30" s="7">
        <v>6310696</v>
      </c>
      <c r="F30" s="7"/>
      <c r="G30" s="7">
        <f t="shared" si="0"/>
        <v>-527467</v>
      </c>
      <c r="H30" s="7">
        <f t="shared" si="1"/>
        <v>-527467</v>
      </c>
      <c r="I30" s="8">
        <f t="shared" si="2"/>
        <v>-7.7135774622511921E-2</v>
      </c>
      <c r="J30" s="8">
        <f t="shared" si="3"/>
        <v>-7.7135774622511921E-2</v>
      </c>
      <c r="K30" s="6" t="str">
        <f>IF(ABS(G30--527467)&lt;0.005,"OK","CHECK")</f>
        <v>OK</v>
      </c>
      <c r="L30" t="s">
        <v>15</v>
      </c>
    </row>
    <row r="31" spans="1:12" ht="15" customHeight="1" x14ac:dyDescent="0.2">
      <c r="A31" s="5">
        <v>811</v>
      </c>
      <c r="B31" s="5" t="s">
        <v>44</v>
      </c>
      <c r="C31" s="6">
        <v>1</v>
      </c>
      <c r="D31" s="7">
        <v>6601513</v>
      </c>
      <c r="E31" s="7">
        <v>6636658</v>
      </c>
      <c r="F31" s="7"/>
      <c r="G31" s="7">
        <f t="shared" si="0"/>
        <v>35145</v>
      </c>
      <c r="H31" s="7">
        <f t="shared" si="1"/>
        <v>35145</v>
      </c>
      <c r="I31" s="8">
        <f t="shared" si="2"/>
        <v>5.3237795638666468E-3</v>
      </c>
      <c r="J31" s="8">
        <f t="shared" si="3"/>
        <v>5.3237795638666468E-3</v>
      </c>
      <c r="K31" s="6" t="str">
        <f>IF(ABS(G31-35145)&lt;0.005,"OK","CHECK")</f>
        <v>OK</v>
      </c>
      <c r="L31" t="s">
        <v>15</v>
      </c>
    </row>
    <row r="32" spans="1:12" ht="15" customHeight="1" x14ac:dyDescent="0.2">
      <c r="A32" s="5">
        <v>842</v>
      </c>
      <c r="B32" s="5" t="s">
        <v>45</v>
      </c>
      <c r="C32" s="6">
        <v>1</v>
      </c>
      <c r="D32" s="7">
        <v>11757498.24</v>
      </c>
      <c r="E32" s="7">
        <v>11788632.6</v>
      </c>
      <c r="F32" s="9">
        <v>95027</v>
      </c>
      <c r="G32" s="7">
        <f t="shared" si="0"/>
        <v>126161.3599999994</v>
      </c>
      <c r="H32" s="7">
        <f t="shared" si="1"/>
        <v>31134.359999999404</v>
      </c>
      <c r="I32" s="8">
        <f t="shared" si="2"/>
        <v>1.0730289507574649E-2</v>
      </c>
      <c r="J32" s="8">
        <f t="shared" si="3"/>
        <v>2.6480429224371633E-3</v>
      </c>
      <c r="K32" s="6" t="str">
        <f>IF(ABS(G32-126161.36)&lt;0.005,"OK","CHECK")</f>
        <v>OK</v>
      </c>
      <c r="L32" t="s">
        <v>21</v>
      </c>
    </row>
    <row r="33" spans="1:12" ht="15" customHeight="1" x14ac:dyDescent="0.2">
      <c r="A33" s="5">
        <v>40</v>
      </c>
      <c r="B33" s="5" t="s">
        <v>46</v>
      </c>
      <c r="C33" s="6">
        <v>1</v>
      </c>
      <c r="D33" s="7"/>
      <c r="E33" s="7">
        <v>1627314</v>
      </c>
      <c r="F33" s="9">
        <v>70617</v>
      </c>
      <c r="G33" s="7">
        <f t="shared" si="0"/>
        <v>1697931</v>
      </c>
      <c r="H33" s="7">
        <f t="shared" si="1"/>
        <v>1627314</v>
      </c>
      <c r="I33" s="8" t="str">
        <f t="shared" si="2"/>
        <v>n/a</v>
      </c>
      <c r="J33" s="8" t="str">
        <f t="shared" si="3"/>
        <v>n/a</v>
      </c>
      <c r="K33" s="6" t="str">
        <f>IF(ABS(G33-1697931)&lt;0.005,"OK","CHECK")</f>
        <v>OK</v>
      </c>
      <c r="L33" t="s">
        <v>15</v>
      </c>
    </row>
    <row r="34" spans="1:12" ht="15" customHeight="1" x14ac:dyDescent="0.2">
      <c r="A34" s="5">
        <v>672</v>
      </c>
      <c r="B34" s="5" t="s">
        <v>47</v>
      </c>
      <c r="C34" s="6">
        <v>1</v>
      </c>
      <c r="D34" s="7">
        <v>9185747</v>
      </c>
      <c r="E34" s="7">
        <v>8891927</v>
      </c>
      <c r="F34" s="9">
        <v>44763</v>
      </c>
      <c r="G34" s="7">
        <f t="shared" si="0"/>
        <v>-249057</v>
      </c>
      <c r="H34" s="7">
        <f t="shared" si="1"/>
        <v>-293820</v>
      </c>
      <c r="I34" s="8">
        <f t="shared" si="2"/>
        <v>-2.7113418211932028E-2</v>
      </c>
      <c r="J34" s="8">
        <f t="shared" si="3"/>
        <v>-3.1986511276655021E-2</v>
      </c>
      <c r="K34" s="6" t="str">
        <f>IF(ABS(G34--249057)&lt;0.005,"OK","CHECK")</f>
        <v>OK</v>
      </c>
      <c r="L34" t="s">
        <v>15</v>
      </c>
    </row>
    <row r="35" spans="1:12" ht="15" customHeight="1" x14ac:dyDescent="0.2">
      <c r="A35" s="5">
        <v>671</v>
      </c>
      <c r="B35" s="5" t="s">
        <v>48</v>
      </c>
      <c r="C35" s="6">
        <v>1</v>
      </c>
      <c r="D35" s="7">
        <v>6322737.3499999996</v>
      </c>
      <c r="E35" s="7">
        <v>5934261</v>
      </c>
      <c r="F35" s="7"/>
      <c r="G35" s="7">
        <f t="shared" si="0"/>
        <v>-388476.34999999963</v>
      </c>
      <c r="H35" s="7">
        <f t="shared" si="1"/>
        <v>-388476.34999999963</v>
      </c>
      <c r="I35" s="8">
        <f t="shared" si="2"/>
        <v>-6.1441165194059448E-2</v>
      </c>
      <c r="J35" s="8">
        <f t="shared" si="3"/>
        <v>-6.1441165194059448E-2</v>
      </c>
      <c r="K35" s="6" t="str">
        <f>IF(ABS(G35--388476.35)&lt;0.005,"OK","CHECK")</f>
        <v>OK</v>
      </c>
      <c r="L35" t="s">
        <v>23</v>
      </c>
    </row>
    <row r="36" spans="1:12" ht="15" customHeight="1" x14ac:dyDescent="0.2">
      <c r="A36" s="5">
        <v>801</v>
      </c>
      <c r="B36" s="5" t="s">
        <v>49</v>
      </c>
      <c r="C36" s="6">
        <v>1</v>
      </c>
      <c r="D36" s="7">
        <v>6317712</v>
      </c>
      <c r="E36" s="7">
        <v>6021610</v>
      </c>
      <c r="F36" s="9">
        <v>44763</v>
      </c>
      <c r="G36" s="7">
        <f t="shared" si="0"/>
        <v>-251339</v>
      </c>
      <c r="H36" s="7">
        <f t="shared" si="1"/>
        <v>-296102</v>
      </c>
      <c r="I36" s="8">
        <f t="shared" si="2"/>
        <v>-3.9783231650952114E-2</v>
      </c>
      <c r="J36" s="8">
        <f t="shared" si="3"/>
        <v>-4.6868549880083168E-2</v>
      </c>
      <c r="K36" s="6" t="str">
        <f>IF(ABS(G36--251339)&lt;0.005,"OK","CHECK")</f>
        <v>OK</v>
      </c>
      <c r="L36" t="s">
        <v>15</v>
      </c>
    </row>
    <row r="37" spans="1:12" ht="15" customHeight="1" x14ac:dyDescent="0.2">
      <c r="A37" s="5">
        <v>231</v>
      </c>
      <c r="B37" s="5" t="s">
        <v>50</v>
      </c>
      <c r="C37" s="6">
        <v>1</v>
      </c>
      <c r="D37" s="7">
        <v>9314691</v>
      </c>
      <c r="E37" s="7">
        <v>8543289</v>
      </c>
      <c r="F37" s="9">
        <v>87245</v>
      </c>
      <c r="G37" s="7">
        <f t="shared" ref="G37:G68" si="4">(E37+IFERROR(F37,0))-IFERROR(D37,0)</f>
        <v>-684157</v>
      </c>
      <c r="H37" s="7">
        <f t="shared" ref="H37:H68" si="5">E37-IFERROR(D37,0)</f>
        <v>-771402</v>
      </c>
      <c r="I37" s="8">
        <f t="shared" ref="I37:I68" si="6">IF(N(D37)=0,"n/a",G37/D37)</f>
        <v>-7.3449242707031293E-2</v>
      </c>
      <c r="J37" s="8">
        <f t="shared" ref="J37:J68" si="7">IF(N(D37)=0,"n/a",H37/D37)</f>
        <v>-8.2815629632802631E-2</v>
      </c>
      <c r="K37" s="6" t="str">
        <f>IF(ABS(G37--684157)&lt;0.005,"OK","CHECK")</f>
        <v>OK</v>
      </c>
      <c r="L37" t="s">
        <v>15</v>
      </c>
    </row>
    <row r="38" spans="1:12" ht="15" customHeight="1" x14ac:dyDescent="0.2">
      <c r="A38" s="5">
        <v>582</v>
      </c>
      <c r="B38" s="5" t="s">
        <v>51</v>
      </c>
      <c r="C38" s="6">
        <v>1</v>
      </c>
      <c r="D38" s="7">
        <v>6934597.5899999999</v>
      </c>
      <c r="E38" s="7">
        <v>6766964</v>
      </c>
      <c r="F38" s="7"/>
      <c r="G38" s="7">
        <f t="shared" si="4"/>
        <v>-167633.58999999985</v>
      </c>
      <c r="H38" s="7">
        <f t="shared" si="5"/>
        <v>-167633.58999999985</v>
      </c>
      <c r="I38" s="8">
        <f t="shared" si="6"/>
        <v>-2.4173513722228812E-2</v>
      </c>
      <c r="J38" s="8">
        <f t="shared" si="7"/>
        <v>-2.4173513722228812E-2</v>
      </c>
      <c r="K38" s="6" t="str">
        <f>IF(ABS(G38--167633.59)&lt;0.005,"OK","CHECK")</f>
        <v>OK</v>
      </c>
      <c r="L38" t="s">
        <v>23</v>
      </c>
    </row>
    <row r="39" spans="1:12" ht="15" customHeight="1" x14ac:dyDescent="0.2">
      <c r="A39" s="5">
        <v>712</v>
      </c>
      <c r="B39" s="5" t="s">
        <v>52</v>
      </c>
      <c r="C39" s="6">
        <v>1</v>
      </c>
      <c r="D39" s="7">
        <v>5086176</v>
      </c>
      <c r="E39" s="7">
        <v>7343470</v>
      </c>
      <c r="F39" s="9">
        <v>144202</v>
      </c>
      <c r="G39" s="7">
        <f t="shared" si="4"/>
        <v>2401496</v>
      </c>
      <c r="H39" s="7">
        <f t="shared" si="5"/>
        <v>2257294</v>
      </c>
      <c r="I39" s="8">
        <f t="shared" si="6"/>
        <v>0.47216140377367988</v>
      </c>
      <c r="J39" s="8">
        <f t="shared" si="7"/>
        <v>0.44380965188778365</v>
      </c>
      <c r="K39" s="6" t="str">
        <f>IF(ABS(G39-2401496)&lt;0.005,"OK","CHECK")</f>
        <v>OK</v>
      </c>
      <c r="L39" t="s">
        <v>18</v>
      </c>
    </row>
    <row r="40" spans="1:12" ht="15" customHeight="1" x14ac:dyDescent="0.2">
      <c r="A40" s="5">
        <v>421</v>
      </c>
      <c r="B40" s="5" t="s">
        <v>53</v>
      </c>
      <c r="C40" s="6">
        <v>1</v>
      </c>
      <c r="D40" s="7">
        <v>7614984</v>
      </c>
      <c r="E40" s="7">
        <v>7504229</v>
      </c>
      <c r="F40" s="7"/>
      <c r="G40" s="7">
        <f t="shared" si="4"/>
        <v>-110755</v>
      </c>
      <c r="H40" s="7">
        <f t="shared" si="5"/>
        <v>-110755</v>
      </c>
      <c r="I40" s="8">
        <f t="shared" si="6"/>
        <v>-1.4544350979594967E-2</v>
      </c>
      <c r="J40" s="8">
        <f t="shared" si="7"/>
        <v>-1.4544350979594967E-2</v>
      </c>
      <c r="K40" s="6" t="str">
        <f>IF(ABS(G40--110755)&lt;0.005,"OK","CHECK")</f>
        <v>OK</v>
      </c>
      <c r="L40" t="s">
        <v>15</v>
      </c>
    </row>
    <row r="41" spans="1:12" ht="15" customHeight="1" x14ac:dyDescent="0.2">
      <c r="A41" s="5">
        <v>861</v>
      </c>
      <c r="B41" s="5" t="s">
        <v>54</v>
      </c>
      <c r="C41" s="6">
        <v>1</v>
      </c>
      <c r="D41" s="7">
        <v>11812387.18</v>
      </c>
      <c r="E41" s="7">
        <v>11861143</v>
      </c>
      <c r="F41" s="7"/>
      <c r="G41" s="7">
        <f t="shared" si="4"/>
        <v>48755.820000000298</v>
      </c>
      <c r="H41" s="7">
        <f t="shared" si="5"/>
        <v>48755.820000000298</v>
      </c>
      <c r="I41" s="8">
        <f t="shared" si="6"/>
        <v>4.127516246889589E-3</v>
      </c>
      <c r="J41" s="8">
        <f t="shared" si="7"/>
        <v>4.127516246889589E-3</v>
      </c>
      <c r="K41" s="6" t="str">
        <f>IF(ABS(G41-48755.82)&lt;0.005,"OK","CHECK")</f>
        <v>OK</v>
      </c>
      <c r="L41" t="s">
        <v>21</v>
      </c>
    </row>
    <row r="42" spans="1:12" ht="15" customHeight="1" x14ac:dyDescent="0.2">
      <c r="A42" s="5">
        <v>491</v>
      </c>
      <c r="B42" s="5" t="s">
        <v>55</v>
      </c>
      <c r="C42" s="6">
        <v>1</v>
      </c>
      <c r="D42" s="7">
        <v>9282513.9600000009</v>
      </c>
      <c r="E42" s="7">
        <v>7553536.4000000004</v>
      </c>
      <c r="F42" s="9">
        <v>393905</v>
      </c>
      <c r="G42" s="7">
        <f t="shared" si="4"/>
        <v>-1335072.5600000005</v>
      </c>
      <c r="H42" s="7">
        <f t="shared" si="5"/>
        <v>-1728977.5600000005</v>
      </c>
      <c r="I42" s="8">
        <f t="shared" si="6"/>
        <v>-0.14382661483226042</v>
      </c>
      <c r="J42" s="8">
        <f t="shared" si="7"/>
        <v>-0.18626177859257434</v>
      </c>
      <c r="K42" s="6" t="str">
        <f>IF(ABS(G42--1335072.56)&lt;0.005,"OK","CHECK")</f>
        <v>OK</v>
      </c>
      <c r="L42" t="s">
        <v>21</v>
      </c>
    </row>
    <row r="43" spans="1:12" ht="15" customHeight="1" x14ac:dyDescent="0.2">
      <c r="A43" s="5">
        <v>261</v>
      </c>
      <c r="B43" s="5" t="s">
        <v>56</v>
      </c>
      <c r="C43" s="6">
        <v>1</v>
      </c>
      <c r="D43" s="7">
        <v>4470799</v>
      </c>
      <c r="E43" s="7">
        <v>4163924</v>
      </c>
      <c r="F43" s="7"/>
      <c r="G43" s="7">
        <f t="shared" si="4"/>
        <v>-306875</v>
      </c>
      <c r="H43" s="7">
        <f t="shared" si="5"/>
        <v>-306875</v>
      </c>
      <c r="I43" s="8">
        <f t="shared" si="6"/>
        <v>-6.8639856097310575E-2</v>
      </c>
      <c r="J43" s="8">
        <f t="shared" si="7"/>
        <v>-6.8639856097310575E-2</v>
      </c>
      <c r="K43" s="6" t="str">
        <f>IF(ABS(G43--306875)&lt;0.005,"OK","CHECK")</f>
        <v>OK</v>
      </c>
      <c r="L43" t="s">
        <v>15</v>
      </c>
    </row>
    <row r="44" spans="1:12" ht="15" customHeight="1" x14ac:dyDescent="0.2">
      <c r="A44" s="5">
        <v>592</v>
      </c>
      <c r="B44" s="5" t="s">
        <v>57</v>
      </c>
      <c r="C44" s="6">
        <v>1</v>
      </c>
      <c r="D44" s="7">
        <v>5623112</v>
      </c>
      <c r="E44" s="7">
        <v>5304972</v>
      </c>
      <c r="F44" s="9">
        <v>139790</v>
      </c>
      <c r="G44" s="7">
        <f t="shared" si="4"/>
        <v>-178350</v>
      </c>
      <c r="H44" s="7">
        <f t="shared" si="5"/>
        <v>-318140</v>
      </c>
      <c r="I44" s="8">
        <f t="shared" si="6"/>
        <v>-3.1717312406368575E-2</v>
      </c>
      <c r="J44" s="8">
        <f t="shared" si="7"/>
        <v>-5.6577212049128668E-2</v>
      </c>
      <c r="K44" s="6" t="str">
        <f>IF(ABS(G44--178350)&lt;0.005,"OK","CHECK")</f>
        <v>OK</v>
      </c>
      <c r="L44" t="s">
        <v>18</v>
      </c>
    </row>
    <row r="45" spans="1:12" ht="15" customHeight="1" x14ac:dyDescent="0.2">
      <c r="A45" s="5">
        <v>7004</v>
      </c>
      <c r="B45" s="5" t="s">
        <v>58</v>
      </c>
      <c r="C45" s="6">
        <v>1</v>
      </c>
      <c r="D45" s="7">
        <v>4978090</v>
      </c>
      <c r="E45" s="7">
        <v>3763606</v>
      </c>
      <c r="F45" s="9">
        <v>13839</v>
      </c>
      <c r="G45" s="7">
        <f t="shared" si="4"/>
        <v>-1200645</v>
      </c>
      <c r="H45" s="7">
        <f t="shared" si="5"/>
        <v>-1214484</v>
      </c>
      <c r="I45" s="8">
        <f t="shared" si="6"/>
        <v>-0.24118587651087064</v>
      </c>
      <c r="J45" s="8">
        <f t="shared" si="7"/>
        <v>-0.24396585839147142</v>
      </c>
      <c r="K45" s="6" t="str">
        <f>IF(ABS(G45--1200645)&lt;0.005,"OK","CHECK")</f>
        <v>OK</v>
      </c>
      <c r="L45" t="s">
        <v>59</v>
      </c>
    </row>
    <row r="46" spans="1:12" ht="15" customHeight="1" x14ac:dyDescent="0.2">
      <c r="A46" s="5">
        <v>691</v>
      </c>
      <c r="B46" s="5" t="s">
        <v>60</v>
      </c>
      <c r="C46" s="6">
        <v>1</v>
      </c>
      <c r="D46" s="7">
        <v>7535552.9299999997</v>
      </c>
      <c r="E46" s="7">
        <v>10295421</v>
      </c>
      <c r="F46" s="7"/>
      <c r="G46" s="7">
        <f t="shared" si="4"/>
        <v>2759868.0700000003</v>
      </c>
      <c r="H46" s="7">
        <f t="shared" si="5"/>
        <v>2759868.0700000003</v>
      </c>
      <c r="I46" s="8">
        <f t="shared" si="6"/>
        <v>0.36624625898553675</v>
      </c>
      <c r="J46" s="8">
        <f t="shared" si="7"/>
        <v>0.36624625898553675</v>
      </c>
      <c r="K46" s="6" t="str">
        <f>IF(ABS(G46-2759868.07)&lt;0.005,"OK","CHECK")</f>
        <v>OK</v>
      </c>
      <c r="L46" t="s">
        <v>23</v>
      </c>
    </row>
    <row r="47" spans="1:12" ht="15" customHeight="1" x14ac:dyDescent="0.2">
      <c r="A47" s="5">
        <v>301</v>
      </c>
      <c r="B47" s="5" t="s">
        <v>61</v>
      </c>
      <c r="C47" s="6">
        <v>1</v>
      </c>
      <c r="D47" s="7">
        <v>9833775</v>
      </c>
      <c r="E47" s="7">
        <v>8834417</v>
      </c>
      <c r="F47" s="9">
        <v>44763</v>
      </c>
      <c r="G47" s="7">
        <f t="shared" si="4"/>
        <v>-954595</v>
      </c>
      <c r="H47" s="7">
        <f t="shared" si="5"/>
        <v>-999358</v>
      </c>
      <c r="I47" s="8">
        <f t="shared" si="6"/>
        <v>-9.707309756426194E-2</v>
      </c>
      <c r="J47" s="8">
        <f t="shared" si="7"/>
        <v>-0.10162506260312038</v>
      </c>
      <c r="K47" s="6" t="str">
        <f>IF(ABS(G47--954595)&lt;0.005,"OK","CHECK")</f>
        <v>OK</v>
      </c>
      <c r="L47" t="s">
        <v>15</v>
      </c>
    </row>
    <row r="48" spans="1:12" ht="15" customHeight="1" x14ac:dyDescent="0.2">
      <c r="A48" s="5">
        <v>241</v>
      </c>
      <c r="B48" s="5" t="s">
        <v>62</v>
      </c>
      <c r="C48" s="6">
        <v>1</v>
      </c>
      <c r="D48" s="7">
        <v>14849492.130000001</v>
      </c>
      <c r="E48" s="7">
        <v>14802686</v>
      </c>
      <c r="F48" s="9">
        <v>90976</v>
      </c>
      <c r="G48" s="7">
        <f t="shared" si="4"/>
        <v>44169.86999999918</v>
      </c>
      <c r="H48" s="7">
        <f t="shared" si="5"/>
        <v>-46806.13000000082</v>
      </c>
      <c r="I48" s="8">
        <f t="shared" si="6"/>
        <v>2.9745037482301544E-3</v>
      </c>
      <c r="J48" s="8">
        <f t="shared" si="7"/>
        <v>-3.1520357457505057E-3</v>
      </c>
      <c r="K48" s="6" t="str">
        <f>IF(ABS(G48-44169.87)&lt;0.005,"OK","CHECK")</f>
        <v>OK</v>
      </c>
      <c r="L48" t="s">
        <v>21</v>
      </c>
    </row>
    <row r="49" spans="1:12" ht="15" customHeight="1" x14ac:dyDescent="0.2">
      <c r="A49" s="5">
        <v>652</v>
      </c>
      <c r="B49" s="5" t="s">
        <v>63</v>
      </c>
      <c r="C49" s="6">
        <v>1</v>
      </c>
      <c r="D49" s="7">
        <v>10535186.609999999</v>
      </c>
      <c r="E49" s="7">
        <v>7227150</v>
      </c>
      <c r="F49" s="7"/>
      <c r="G49" s="7">
        <f t="shared" si="4"/>
        <v>-3308036.6099999994</v>
      </c>
      <c r="H49" s="7">
        <f t="shared" si="5"/>
        <v>-3308036.6099999994</v>
      </c>
      <c r="I49" s="8">
        <f t="shared" si="6"/>
        <v>-0.31399886233244423</v>
      </c>
      <c r="J49" s="8">
        <f t="shared" si="7"/>
        <v>-0.31399886233244423</v>
      </c>
      <c r="K49" s="6" t="str">
        <f>IF(ABS(G49--3308036.61)&lt;0.005,"OK","CHECK")</f>
        <v>OK</v>
      </c>
      <c r="L49" t="s">
        <v>23</v>
      </c>
    </row>
    <row r="50" spans="1:12" ht="15" customHeight="1" x14ac:dyDescent="0.2">
      <c r="A50" s="5">
        <v>351</v>
      </c>
      <c r="B50" s="5" t="s">
        <v>64</v>
      </c>
      <c r="C50" s="6">
        <v>1</v>
      </c>
      <c r="D50" s="7">
        <v>6626427.5</v>
      </c>
      <c r="E50" s="7">
        <v>6274428</v>
      </c>
      <c r="F50" s="7"/>
      <c r="G50" s="7">
        <f t="shared" si="4"/>
        <v>-351999.5</v>
      </c>
      <c r="H50" s="7">
        <f t="shared" si="5"/>
        <v>-351999.5</v>
      </c>
      <c r="I50" s="8">
        <f t="shared" si="6"/>
        <v>-5.3120554024019731E-2</v>
      </c>
      <c r="J50" s="8">
        <f t="shared" si="7"/>
        <v>-5.3120554024019731E-2</v>
      </c>
      <c r="K50" s="6" t="str">
        <f>IF(ABS(G50--351999.5)&lt;0.005,"OK","CHECK")</f>
        <v>OK</v>
      </c>
      <c r="L50" t="s">
        <v>23</v>
      </c>
    </row>
    <row r="51" spans="1:12" ht="15" customHeight="1" x14ac:dyDescent="0.2">
      <c r="A51" s="5">
        <v>791</v>
      </c>
      <c r="B51" s="5" t="s">
        <v>65</v>
      </c>
      <c r="C51" s="6">
        <v>1</v>
      </c>
      <c r="D51" s="7">
        <v>5554811</v>
      </c>
      <c r="E51" s="7">
        <v>5262008</v>
      </c>
      <c r="F51" s="9">
        <v>44763</v>
      </c>
      <c r="G51" s="7">
        <f t="shared" si="4"/>
        <v>-248040</v>
      </c>
      <c r="H51" s="7">
        <f t="shared" si="5"/>
        <v>-292803</v>
      </c>
      <c r="I51" s="8">
        <f t="shared" si="6"/>
        <v>-4.4653184419775942E-2</v>
      </c>
      <c r="J51" s="8">
        <f t="shared" si="7"/>
        <v>-5.2711604409222922E-2</v>
      </c>
      <c r="K51" s="6" t="str">
        <f>IF(ABS(G51--248040)&lt;0.005,"OK","CHECK")</f>
        <v>OK</v>
      </c>
      <c r="L51" t="s">
        <v>15</v>
      </c>
    </row>
    <row r="52" spans="1:12" ht="15" customHeight="1" x14ac:dyDescent="0.2">
      <c r="A52" s="5">
        <v>763</v>
      </c>
      <c r="B52" s="5" t="s">
        <v>66</v>
      </c>
      <c r="C52" s="6">
        <v>2</v>
      </c>
      <c r="D52" s="7">
        <v>6444730</v>
      </c>
      <c r="E52" s="7">
        <v>6326559</v>
      </c>
      <c r="F52" s="9">
        <v>139302</v>
      </c>
      <c r="G52" s="7">
        <f t="shared" si="4"/>
        <v>21131</v>
      </c>
      <c r="H52" s="7">
        <f t="shared" si="5"/>
        <v>-118171</v>
      </c>
      <c r="I52" s="8">
        <f t="shared" si="6"/>
        <v>3.2788029909709172E-3</v>
      </c>
      <c r="J52" s="8">
        <f t="shared" si="7"/>
        <v>-1.8336066832900681E-2</v>
      </c>
      <c r="K52" s="6" t="str">
        <f>IF(ABS(G52-21131)&lt;0.005,"OK","CHECK")</f>
        <v>OK</v>
      </c>
      <c r="L52" t="s">
        <v>15</v>
      </c>
    </row>
    <row r="53" spans="1:12" ht="15" customHeight="1" x14ac:dyDescent="0.2">
      <c r="A53" s="5">
        <v>721</v>
      </c>
      <c r="B53" s="5" t="s">
        <v>67</v>
      </c>
      <c r="C53" s="6">
        <v>2</v>
      </c>
      <c r="D53" s="7">
        <v>10073260.83</v>
      </c>
      <c r="E53" s="7">
        <v>9664965</v>
      </c>
      <c r="F53" s="7"/>
      <c r="G53" s="7">
        <f t="shared" si="4"/>
        <v>-408295.83000000007</v>
      </c>
      <c r="H53" s="7">
        <f t="shared" si="5"/>
        <v>-408295.83000000007</v>
      </c>
      <c r="I53" s="8">
        <f t="shared" si="6"/>
        <v>-4.0532637533222705E-2</v>
      </c>
      <c r="J53" s="8">
        <f t="shared" si="7"/>
        <v>-4.0532637533222705E-2</v>
      </c>
      <c r="K53" s="6" t="str">
        <f>IF(ABS(G53--408295.83)&lt;0.005,"OK","CHECK")</f>
        <v>OK</v>
      </c>
      <c r="L53" t="s">
        <v>21</v>
      </c>
    </row>
    <row r="54" spans="1:12" ht="15" customHeight="1" x14ac:dyDescent="0.2">
      <c r="A54" s="5">
        <v>722</v>
      </c>
      <c r="B54" s="5" t="s">
        <v>68</v>
      </c>
      <c r="C54" s="6">
        <v>2</v>
      </c>
      <c r="D54" s="7">
        <v>5736250.29</v>
      </c>
      <c r="E54" s="7">
        <v>4963824</v>
      </c>
      <c r="F54" s="7"/>
      <c r="G54" s="7">
        <f t="shared" si="4"/>
        <v>-772426.29</v>
      </c>
      <c r="H54" s="7">
        <f t="shared" si="5"/>
        <v>-772426.29</v>
      </c>
      <c r="I54" s="8">
        <f t="shared" si="6"/>
        <v>-0.13465700604915551</v>
      </c>
      <c r="J54" s="8">
        <f t="shared" si="7"/>
        <v>-0.13465700604915551</v>
      </c>
      <c r="K54" s="6" t="str">
        <f>IF(ABS(G54--772426.29)&lt;0.005,"OK","CHECK")</f>
        <v>OK</v>
      </c>
      <c r="L54" t="s">
        <v>23</v>
      </c>
    </row>
    <row r="55" spans="1:12" ht="15" customHeight="1" x14ac:dyDescent="0.2">
      <c r="A55" s="5">
        <v>371</v>
      </c>
      <c r="B55" s="5" t="s">
        <v>69</v>
      </c>
      <c r="C55" s="6">
        <v>2</v>
      </c>
      <c r="D55" s="7">
        <v>9923228</v>
      </c>
      <c r="E55" s="7">
        <v>9061525</v>
      </c>
      <c r="F55" s="9">
        <v>229316</v>
      </c>
      <c r="G55" s="7">
        <f t="shared" si="4"/>
        <v>-632387</v>
      </c>
      <c r="H55" s="7">
        <f t="shared" si="5"/>
        <v>-861703</v>
      </c>
      <c r="I55" s="8">
        <f t="shared" si="6"/>
        <v>-6.3727952234897758E-2</v>
      </c>
      <c r="J55" s="8">
        <f t="shared" si="7"/>
        <v>-8.6836964745746037E-2</v>
      </c>
      <c r="K55" s="6" t="str">
        <f>IF(ABS(G55--632387)&lt;0.005,"OK","CHECK")</f>
        <v>OK</v>
      </c>
      <c r="L55" t="s">
        <v>15</v>
      </c>
    </row>
    <row r="56" spans="1:12" ht="15" customHeight="1" x14ac:dyDescent="0.2">
      <c r="A56" s="5">
        <v>601</v>
      </c>
      <c r="B56" s="5" t="s">
        <v>70</v>
      </c>
      <c r="C56" s="6">
        <v>2</v>
      </c>
      <c r="D56" s="7">
        <v>10152128</v>
      </c>
      <c r="E56" s="7">
        <v>9679072</v>
      </c>
      <c r="F56" s="7"/>
      <c r="G56" s="7">
        <f t="shared" si="4"/>
        <v>-473056</v>
      </c>
      <c r="H56" s="7">
        <f t="shared" si="5"/>
        <v>-473056</v>
      </c>
      <c r="I56" s="8">
        <f t="shared" si="6"/>
        <v>-4.6596733216917673E-2</v>
      </c>
      <c r="J56" s="8">
        <f t="shared" si="7"/>
        <v>-4.6596733216917673E-2</v>
      </c>
      <c r="K56" s="6" t="str">
        <f>IF(ABS(G56--473056)&lt;0.005,"OK","CHECK")</f>
        <v>OK</v>
      </c>
      <c r="L56" t="s">
        <v>18</v>
      </c>
    </row>
    <row r="57" spans="1:12" ht="15" customHeight="1" x14ac:dyDescent="0.2">
      <c r="A57" s="5">
        <v>311</v>
      </c>
      <c r="B57" s="5" t="s">
        <v>71</v>
      </c>
      <c r="C57" s="6">
        <v>2</v>
      </c>
      <c r="D57" s="7">
        <v>10885946.289999999</v>
      </c>
      <c r="E57" s="7">
        <v>10780086.199999999</v>
      </c>
      <c r="F57" s="9">
        <v>95027</v>
      </c>
      <c r="G57" s="7">
        <f t="shared" si="4"/>
        <v>-10833.089999999851</v>
      </c>
      <c r="H57" s="7">
        <f t="shared" si="5"/>
        <v>-105860.08999999985</v>
      </c>
      <c r="I57" s="8">
        <f t="shared" si="6"/>
        <v>-9.9514453878495599E-4</v>
      </c>
      <c r="J57" s="8">
        <f t="shared" si="7"/>
        <v>-9.7244729286644176E-3</v>
      </c>
      <c r="K57" s="6" t="str">
        <f>IF(ABS(G57--10833.09)&lt;0.005,"OK","CHECK")</f>
        <v>OK</v>
      </c>
      <c r="L57" t="s">
        <v>21</v>
      </c>
    </row>
    <row r="58" spans="1:12" ht="15" customHeight="1" x14ac:dyDescent="0.2">
      <c r="A58" s="5">
        <v>382</v>
      </c>
      <c r="B58" s="5" t="s">
        <v>72</v>
      </c>
      <c r="C58" s="6">
        <v>2</v>
      </c>
      <c r="D58" s="7">
        <v>7990989.75</v>
      </c>
      <c r="E58" s="7">
        <v>7658964</v>
      </c>
      <c r="F58" s="7"/>
      <c r="G58" s="7">
        <f t="shared" si="4"/>
        <v>-332025.75</v>
      </c>
      <c r="H58" s="7">
        <f t="shared" si="5"/>
        <v>-332025.75</v>
      </c>
      <c r="I58" s="8">
        <f t="shared" si="6"/>
        <v>-4.1550015753680572E-2</v>
      </c>
      <c r="J58" s="8">
        <f t="shared" si="7"/>
        <v>-4.1550015753680572E-2</v>
      </c>
      <c r="K58" s="6" t="str">
        <f>IF(ABS(G58--332025.75)&lt;0.005,"OK","CHECK")</f>
        <v>OK</v>
      </c>
      <c r="L58" t="s">
        <v>23</v>
      </c>
    </row>
    <row r="59" spans="1:12" ht="15" customHeight="1" x14ac:dyDescent="0.2">
      <c r="A59" s="5">
        <v>321</v>
      </c>
      <c r="B59" s="5" t="s">
        <v>73</v>
      </c>
      <c r="C59" s="6">
        <v>2</v>
      </c>
      <c r="D59" s="7">
        <v>6729251</v>
      </c>
      <c r="E59" s="7">
        <v>6532381</v>
      </c>
      <c r="F59" s="7"/>
      <c r="G59" s="7">
        <f t="shared" si="4"/>
        <v>-196870</v>
      </c>
      <c r="H59" s="7">
        <f t="shared" si="5"/>
        <v>-196870</v>
      </c>
      <c r="I59" s="8">
        <f t="shared" si="6"/>
        <v>-2.9255856260971689E-2</v>
      </c>
      <c r="J59" s="8">
        <f t="shared" si="7"/>
        <v>-2.9255856260971689E-2</v>
      </c>
      <c r="K59" s="6" t="str">
        <f>IF(ABS(G59--196870)&lt;0.005,"OK","CHECK")</f>
        <v>OK</v>
      </c>
      <c r="L59" t="s">
        <v>15</v>
      </c>
    </row>
    <row r="60" spans="1:12" ht="15" customHeight="1" x14ac:dyDescent="0.2">
      <c r="A60" s="5">
        <v>331</v>
      </c>
      <c r="B60" s="5" t="s">
        <v>74</v>
      </c>
      <c r="C60" s="6">
        <v>2</v>
      </c>
      <c r="D60" s="7">
        <v>5421512</v>
      </c>
      <c r="E60" s="7">
        <v>4546842</v>
      </c>
      <c r="F60" s="9">
        <v>44763</v>
      </c>
      <c r="G60" s="7">
        <f t="shared" si="4"/>
        <v>-829907</v>
      </c>
      <c r="H60" s="7">
        <f t="shared" si="5"/>
        <v>-874670</v>
      </c>
      <c r="I60" s="8">
        <f t="shared" si="6"/>
        <v>-0.15307666938669506</v>
      </c>
      <c r="J60" s="8">
        <f t="shared" si="7"/>
        <v>-0.16133322217123194</v>
      </c>
      <c r="K60" s="6" t="str">
        <f>IF(ABS(G60--829907)&lt;0.005,"OK","CHECK")</f>
        <v>OK</v>
      </c>
      <c r="L60" t="s">
        <v>15</v>
      </c>
    </row>
    <row r="61" spans="1:12" ht="15" customHeight="1" x14ac:dyDescent="0.2">
      <c r="A61" s="5">
        <v>461</v>
      </c>
      <c r="B61" s="5" t="s">
        <v>75</v>
      </c>
      <c r="C61" s="6">
        <v>2</v>
      </c>
      <c r="D61" s="7">
        <v>7553264</v>
      </c>
      <c r="E61" s="7">
        <v>7203491</v>
      </c>
      <c r="F61" s="7"/>
      <c r="G61" s="7">
        <f t="shared" si="4"/>
        <v>-349773</v>
      </c>
      <c r="H61" s="7">
        <f t="shared" si="5"/>
        <v>-349773</v>
      </c>
      <c r="I61" s="8">
        <f t="shared" si="6"/>
        <v>-4.6307530095598404E-2</v>
      </c>
      <c r="J61" s="8">
        <f t="shared" si="7"/>
        <v>-4.6307530095598404E-2</v>
      </c>
      <c r="K61" s="6" t="str">
        <f>IF(ABS(G61--349773)&lt;0.005,"OK","CHECK")</f>
        <v>OK</v>
      </c>
      <c r="L61" t="s">
        <v>15</v>
      </c>
    </row>
    <row r="62" spans="1:12" ht="15" customHeight="1" x14ac:dyDescent="0.2">
      <c r="A62" s="5">
        <v>161</v>
      </c>
      <c r="B62" s="5" t="s">
        <v>76</v>
      </c>
      <c r="C62" s="6">
        <v>2</v>
      </c>
      <c r="D62" s="7">
        <v>7596492.79</v>
      </c>
      <c r="E62" s="7">
        <v>7383160</v>
      </c>
      <c r="F62" s="9">
        <v>9503</v>
      </c>
      <c r="G62" s="7">
        <f t="shared" si="4"/>
        <v>-203829.79000000004</v>
      </c>
      <c r="H62" s="7">
        <f t="shared" si="5"/>
        <v>-213332.79000000004</v>
      </c>
      <c r="I62" s="8">
        <f t="shared" si="6"/>
        <v>-2.6832091549974346E-2</v>
      </c>
      <c r="J62" s="8">
        <f t="shared" si="7"/>
        <v>-2.8083063579133608E-2</v>
      </c>
      <c r="K62" s="6" t="str">
        <f>IF(ABS(G62--203829.79)&lt;0.005,"OK","CHECK")</f>
        <v>OK</v>
      </c>
      <c r="L62" t="s">
        <v>23</v>
      </c>
    </row>
    <row r="63" spans="1:12" ht="15" customHeight="1" x14ac:dyDescent="0.2">
      <c r="A63" s="5">
        <v>641</v>
      </c>
      <c r="B63" s="5" t="s">
        <v>77</v>
      </c>
      <c r="C63" s="6">
        <v>2</v>
      </c>
      <c r="D63" s="7">
        <v>7642576</v>
      </c>
      <c r="E63" s="7">
        <v>6402217</v>
      </c>
      <c r="F63" s="7"/>
      <c r="G63" s="7">
        <f t="shared" si="4"/>
        <v>-1240359</v>
      </c>
      <c r="H63" s="7">
        <f t="shared" si="5"/>
        <v>-1240359</v>
      </c>
      <c r="I63" s="8">
        <f t="shared" si="6"/>
        <v>-0.16229593268028999</v>
      </c>
      <c r="J63" s="8">
        <f t="shared" si="7"/>
        <v>-0.16229593268028999</v>
      </c>
      <c r="K63" s="6" t="str">
        <f>IF(ABS(G63--1240359)&lt;0.005,"OK","CHECK")</f>
        <v>OK</v>
      </c>
      <c r="L63" t="s">
        <v>15</v>
      </c>
    </row>
    <row r="64" spans="1:12" ht="15" customHeight="1" x14ac:dyDescent="0.2">
      <c r="A64" s="5">
        <v>341</v>
      </c>
      <c r="B64" s="5" t="s">
        <v>78</v>
      </c>
      <c r="C64" s="6">
        <v>2</v>
      </c>
      <c r="D64" s="7">
        <v>2276823</v>
      </c>
      <c r="E64" s="7">
        <v>1890361</v>
      </c>
      <c r="F64" s="9">
        <v>512217</v>
      </c>
      <c r="G64" s="7">
        <f t="shared" si="4"/>
        <v>125755</v>
      </c>
      <c r="H64" s="7">
        <f t="shared" si="5"/>
        <v>-386462</v>
      </c>
      <c r="I64" s="8">
        <f t="shared" si="6"/>
        <v>5.5232664111351651E-2</v>
      </c>
      <c r="J64" s="8">
        <f t="shared" si="7"/>
        <v>-0.16973739284959788</v>
      </c>
      <c r="K64" s="6" t="str">
        <f>IF(ABS(G64-125755)&lt;0.005,"OK","CHECK")</f>
        <v>OK</v>
      </c>
      <c r="L64" t="s">
        <v>15</v>
      </c>
    </row>
    <row r="65" spans="1:12" ht="15" customHeight="1" x14ac:dyDescent="0.2">
      <c r="A65" s="5">
        <v>431</v>
      </c>
      <c r="B65" s="5" t="s">
        <v>79</v>
      </c>
      <c r="C65" s="6">
        <v>2</v>
      </c>
      <c r="D65" s="7">
        <v>7634877</v>
      </c>
      <c r="E65" s="7">
        <v>7521924</v>
      </c>
      <c r="F65" s="7"/>
      <c r="G65" s="7">
        <f t="shared" si="4"/>
        <v>-112953</v>
      </c>
      <c r="H65" s="7">
        <f t="shared" si="5"/>
        <v>-112953</v>
      </c>
      <c r="I65" s="8">
        <f t="shared" si="6"/>
        <v>-1.4794344427552664E-2</v>
      </c>
      <c r="J65" s="8">
        <f t="shared" si="7"/>
        <v>-1.4794344427552664E-2</v>
      </c>
      <c r="K65" s="6" t="str">
        <f>IF(ABS(G65--112953)&lt;0.005,"OK","CHECK")</f>
        <v>OK</v>
      </c>
      <c r="L65" t="s">
        <v>15</v>
      </c>
    </row>
    <row r="66" spans="1:12" ht="15" customHeight="1" x14ac:dyDescent="0.2">
      <c r="A66" s="5">
        <v>162</v>
      </c>
      <c r="B66" s="5" t="s">
        <v>80</v>
      </c>
      <c r="C66" s="6">
        <v>2</v>
      </c>
      <c r="D66" s="7">
        <v>6503916</v>
      </c>
      <c r="E66" s="7">
        <v>6060458</v>
      </c>
      <c r="F66" s="7"/>
      <c r="G66" s="7">
        <f t="shared" si="4"/>
        <v>-443458</v>
      </c>
      <c r="H66" s="7">
        <f t="shared" si="5"/>
        <v>-443458</v>
      </c>
      <c r="I66" s="8">
        <f t="shared" si="6"/>
        <v>-6.8183229918713589E-2</v>
      </c>
      <c r="J66" s="8">
        <f t="shared" si="7"/>
        <v>-6.8183229918713589E-2</v>
      </c>
      <c r="K66" s="6" t="str">
        <f>IF(ABS(G66--443458)&lt;0.005,"OK","CHECK")</f>
        <v>OK</v>
      </c>
      <c r="L66" t="s">
        <v>15</v>
      </c>
    </row>
    <row r="67" spans="1:12" ht="15" customHeight="1" x14ac:dyDescent="0.2">
      <c r="A67" s="5">
        <v>734</v>
      </c>
      <c r="B67" s="5" t="s">
        <v>81</v>
      </c>
      <c r="C67" s="6">
        <v>2</v>
      </c>
      <c r="D67" s="7">
        <v>5809924</v>
      </c>
      <c r="E67" s="7">
        <v>5473475</v>
      </c>
      <c r="F67" s="9">
        <v>89662</v>
      </c>
      <c r="G67" s="7">
        <f t="shared" si="4"/>
        <v>-246787</v>
      </c>
      <c r="H67" s="7">
        <f t="shared" si="5"/>
        <v>-336449</v>
      </c>
      <c r="I67" s="8">
        <f t="shared" si="6"/>
        <v>-4.2476803483143671E-2</v>
      </c>
      <c r="J67" s="8">
        <f t="shared" si="7"/>
        <v>-5.7909363358281452E-2</v>
      </c>
      <c r="K67" s="6" t="str">
        <f>IF(ABS(G67--246787)&lt;0.005,"OK","CHECK")</f>
        <v>OK</v>
      </c>
      <c r="L67" t="s">
        <v>15</v>
      </c>
    </row>
    <row r="68" spans="1:12" ht="15" customHeight="1" x14ac:dyDescent="0.2">
      <c r="A68" s="5">
        <v>93</v>
      </c>
      <c r="B68" s="5" t="s">
        <v>82</v>
      </c>
      <c r="C68" s="6">
        <v>2</v>
      </c>
      <c r="D68" s="7">
        <v>7299767</v>
      </c>
      <c r="E68" s="7">
        <v>7311371</v>
      </c>
      <c r="F68" s="7"/>
      <c r="G68" s="7">
        <f t="shared" si="4"/>
        <v>11604</v>
      </c>
      <c r="H68" s="7">
        <f t="shared" si="5"/>
        <v>11604</v>
      </c>
      <c r="I68" s="8">
        <f t="shared" si="6"/>
        <v>1.5896397789134913E-3</v>
      </c>
      <c r="J68" s="8">
        <f t="shared" si="7"/>
        <v>1.5896397789134913E-3</v>
      </c>
      <c r="K68" s="6" t="str">
        <f>IF(ABS(G68-11604)&lt;0.005,"OK","CHECK")</f>
        <v>OK</v>
      </c>
      <c r="L68" t="s">
        <v>15</v>
      </c>
    </row>
    <row r="69" spans="1:12" ht="15" customHeight="1" x14ac:dyDescent="0.2">
      <c r="A69" s="5">
        <v>591</v>
      </c>
      <c r="B69" s="5" t="s">
        <v>83</v>
      </c>
      <c r="C69" s="6">
        <v>2</v>
      </c>
      <c r="D69" s="7">
        <v>11384194.109999999</v>
      </c>
      <c r="E69" s="7">
        <v>12586262.199999999</v>
      </c>
      <c r="F69" s="7"/>
      <c r="G69" s="7">
        <f t="shared" ref="G69:G100" si="8">(E69+IFERROR(F69,0))-IFERROR(D69,0)</f>
        <v>1202068.0899999999</v>
      </c>
      <c r="H69" s="7">
        <f t="shared" ref="H69:H88" si="9">E69-IFERROR(D69,0)</f>
        <v>1202068.0899999999</v>
      </c>
      <c r="I69" s="8">
        <f t="shared" ref="I69:I88" si="10">IF(N(D69)=0,"n/a",G69/D69)</f>
        <v>0.10559096923198896</v>
      </c>
      <c r="J69" s="8">
        <f t="shared" ref="J69:J88" si="11">IF(N(D69)=0,"n/a",H69/D69)</f>
        <v>0.10559096923198896</v>
      </c>
      <c r="K69" s="6" t="str">
        <f>IF(ABS(G69-1202068.09)&lt;0.005,"OK","CHECK")</f>
        <v>OK</v>
      </c>
      <c r="L69" t="s">
        <v>21</v>
      </c>
    </row>
    <row r="70" spans="1:12" ht="15" customHeight="1" x14ac:dyDescent="0.2">
      <c r="A70" s="5">
        <v>631</v>
      </c>
      <c r="B70" s="5" t="s">
        <v>84</v>
      </c>
      <c r="C70" s="6">
        <v>2</v>
      </c>
      <c r="D70" s="7">
        <v>5761720</v>
      </c>
      <c r="E70" s="7">
        <v>5373021</v>
      </c>
      <c r="F70" s="9">
        <v>195045</v>
      </c>
      <c r="G70" s="7">
        <f t="shared" si="8"/>
        <v>-193654</v>
      </c>
      <c r="H70" s="7">
        <f t="shared" si="9"/>
        <v>-388699</v>
      </c>
      <c r="I70" s="8">
        <f t="shared" si="10"/>
        <v>-3.3610449657393973E-2</v>
      </c>
      <c r="J70" s="8">
        <f t="shared" si="11"/>
        <v>-6.7462320279361027E-2</v>
      </c>
      <c r="K70" s="6" t="str">
        <f>IF(ABS(G70--193654)&lt;0.005,"OK","CHECK")</f>
        <v>OK</v>
      </c>
      <c r="L70" t="s">
        <v>15</v>
      </c>
    </row>
    <row r="71" spans="1:12" ht="15" customHeight="1" x14ac:dyDescent="0.2">
      <c r="A71" s="5">
        <v>751</v>
      </c>
      <c r="B71" s="5" t="s">
        <v>85</v>
      </c>
      <c r="C71" s="6">
        <v>2</v>
      </c>
      <c r="D71" s="7">
        <v>9651392</v>
      </c>
      <c r="E71" s="7">
        <v>8945936</v>
      </c>
      <c r="F71" s="7"/>
      <c r="G71" s="7">
        <f t="shared" si="8"/>
        <v>-705456</v>
      </c>
      <c r="H71" s="7">
        <f t="shared" si="9"/>
        <v>-705456</v>
      </c>
      <c r="I71" s="8">
        <f t="shared" si="10"/>
        <v>-7.309370503239325E-2</v>
      </c>
      <c r="J71" s="8">
        <f t="shared" si="11"/>
        <v>-7.309370503239325E-2</v>
      </c>
      <c r="K71" s="6" t="str">
        <f>IF(ABS(G71--705456)&lt;0.005,"OK","CHECK")</f>
        <v>OK</v>
      </c>
      <c r="L71" t="s">
        <v>15</v>
      </c>
    </row>
    <row r="72" spans="1:12" ht="15" customHeight="1" x14ac:dyDescent="0.2">
      <c r="A72" s="5">
        <v>511</v>
      </c>
      <c r="B72" s="5" t="s">
        <v>86</v>
      </c>
      <c r="C72" s="6">
        <v>2</v>
      </c>
      <c r="D72" s="7">
        <v>9743188.8800000008</v>
      </c>
      <c r="E72" s="7">
        <v>8715489.5999999996</v>
      </c>
      <c r="F72" s="9">
        <v>190054</v>
      </c>
      <c r="G72" s="7">
        <f t="shared" si="8"/>
        <v>-837645.28000000119</v>
      </c>
      <c r="H72" s="7">
        <f t="shared" si="9"/>
        <v>-1027699.2800000012</v>
      </c>
      <c r="I72" s="8">
        <f t="shared" si="10"/>
        <v>-8.5972394697125185E-2</v>
      </c>
      <c r="J72" s="8">
        <f t="shared" si="11"/>
        <v>-0.10547873931804565</v>
      </c>
      <c r="K72" s="6" t="str">
        <f>IF(ABS(G72--837645.28)&lt;0.005,"OK","CHECK")</f>
        <v>OK</v>
      </c>
      <c r="L72" t="s">
        <v>21</v>
      </c>
    </row>
    <row r="73" spans="1:12" ht="15" customHeight="1" x14ac:dyDescent="0.2">
      <c r="A73" s="5">
        <v>681</v>
      </c>
      <c r="B73" s="5" t="s">
        <v>87</v>
      </c>
      <c r="C73" s="6">
        <v>2</v>
      </c>
      <c r="D73" s="7">
        <v>5589462</v>
      </c>
      <c r="E73" s="7">
        <v>5290839</v>
      </c>
      <c r="F73" s="9">
        <v>89526</v>
      </c>
      <c r="G73" s="7">
        <f t="shared" si="8"/>
        <v>-209097</v>
      </c>
      <c r="H73" s="7">
        <f t="shared" si="9"/>
        <v>-298623</v>
      </c>
      <c r="I73" s="8">
        <f t="shared" si="10"/>
        <v>-3.7409145996519878E-2</v>
      </c>
      <c r="J73" s="8">
        <f t="shared" si="11"/>
        <v>-5.3426072133597118E-2</v>
      </c>
      <c r="K73" s="6" t="str">
        <f>IF(ABS(G73--209097)&lt;0.005,"OK","CHECK")</f>
        <v>OK</v>
      </c>
      <c r="L73" t="s">
        <v>15</v>
      </c>
    </row>
    <row r="74" spans="1:12" ht="15" customHeight="1" x14ac:dyDescent="0.2">
      <c r="A74" s="5">
        <v>711</v>
      </c>
      <c r="B74" s="5" t="s">
        <v>88</v>
      </c>
      <c r="C74" s="6">
        <v>2</v>
      </c>
      <c r="D74" s="7">
        <v>10715131</v>
      </c>
      <c r="E74" s="7">
        <v>9202809</v>
      </c>
      <c r="F74" s="9">
        <v>260263</v>
      </c>
      <c r="G74" s="7">
        <f t="shared" si="8"/>
        <v>-1252059</v>
      </c>
      <c r="H74" s="7">
        <f t="shared" si="9"/>
        <v>-1512322</v>
      </c>
      <c r="I74" s="8">
        <f t="shared" si="10"/>
        <v>-0.11684962134387344</v>
      </c>
      <c r="J74" s="8">
        <f t="shared" si="11"/>
        <v>-0.14113891841359663</v>
      </c>
      <c r="K74" s="6" t="str">
        <f>IF(ABS(G74--1252059)&lt;0.005,"OK","CHECK")</f>
        <v>OK</v>
      </c>
      <c r="L74" t="s">
        <v>15</v>
      </c>
    </row>
    <row r="75" spans="1:12" ht="15" customHeight="1" x14ac:dyDescent="0.2">
      <c r="A75" s="5">
        <v>561</v>
      </c>
      <c r="B75" s="5" t="s">
        <v>89</v>
      </c>
      <c r="C75" s="6">
        <v>2</v>
      </c>
      <c r="D75" s="7">
        <v>5281628</v>
      </c>
      <c r="E75" s="7">
        <v>4661291</v>
      </c>
      <c r="F75" s="7"/>
      <c r="G75" s="7">
        <f t="shared" si="8"/>
        <v>-620337</v>
      </c>
      <c r="H75" s="7">
        <f t="shared" si="9"/>
        <v>-620337</v>
      </c>
      <c r="I75" s="8">
        <f t="shared" si="10"/>
        <v>-0.11745185386021129</v>
      </c>
      <c r="J75" s="8">
        <f t="shared" si="11"/>
        <v>-0.11745185386021129</v>
      </c>
      <c r="K75" s="6" t="str">
        <f>IF(ABS(G75--620337)&lt;0.005,"OK","CHECK")</f>
        <v>OK</v>
      </c>
      <c r="L75" t="s">
        <v>15</v>
      </c>
    </row>
    <row r="76" spans="1:12" ht="15" customHeight="1" x14ac:dyDescent="0.2">
      <c r="A76" s="5">
        <v>91</v>
      </c>
      <c r="B76" s="5" t="s">
        <v>90</v>
      </c>
      <c r="C76" s="6">
        <v>2</v>
      </c>
      <c r="D76" s="7">
        <v>8401269</v>
      </c>
      <c r="E76" s="7">
        <v>8030603</v>
      </c>
      <c r="F76" s="7"/>
      <c r="G76" s="7">
        <f t="shared" si="8"/>
        <v>-370666</v>
      </c>
      <c r="H76" s="7">
        <f t="shared" si="9"/>
        <v>-370666</v>
      </c>
      <c r="I76" s="8">
        <f t="shared" si="10"/>
        <v>-4.4120239454301484E-2</v>
      </c>
      <c r="J76" s="8">
        <f t="shared" si="11"/>
        <v>-4.4120239454301484E-2</v>
      </c>
      <c r="K76" s="6" t="str">
        <f>IF(ABS(G76--370666)&lt;0.005,"OK","CHECK")</f>
        <v>OK</v>
      </c>
      <c r="L76" t="s">
        <v>18</v>
      </c>
    </row>
    <row r="77" spans="1:12" ht="15" customHeight="1" x14ac:dyDescent="0.2">
      <c r="A77" s="5">
        <v>361</v>
      </c>
      <c r="B77" s="5" t="s">
        <v>91</v>
      </c>
      <c r="C77" s="6">
        <v>2</v>
      </c>
      <c r="D77" s="7">
        <v>2436512</v>
      </c>
      <c r="E77" s="7">
        <v>1802116</v>
      </c>
      <c r="F77" s="9">
        <v>531572</v>
      </c>
      <c r="G77" s="7">
        <f t="shared" si="8"/>
        <v>-102824</v>
      </c>
      <c r="H77" s="7">
        <f t="shared" si="9"/>
        <v>-634396</v>
      </c>
      <c r="I77" s="8">
        <f t="shared" si="10"/>
        <v>-4.2201310726152796E-2</v>
      </c>
      <c r="J77" s="8">
        <f t="shared" si="11"/>
        <v>-0.26037056250902929</v>
      </c>
      <c r="K77" s="6" t="str">
        <f>IF(ABS(G77--102824)&lt;0.005,"OK","CHECK")</f>
        <v>OK</v>
      </c>
      <c r="L77" t="s">
        <v>18</v>
      </c>
    </row>
    <row r="78" spans="1:12" ht="15" customHeight="1" x14ac:dyDescent="0.2">
      <c r="A78" s="5">
        <v>741</v>
      </c>
      <c r="B78" s="5" t="s">
        <v>92</v>
      </c>
      <c r="C78" s="6">
        <v>2</v>
      </c>
      <c r="D78" s="7">
        <v>6819692</v>
      </c>
      <c r="E78" s="7">
        <v>6751276</v>
      </c>
      <c r="F78" s="9">
        <v>95027</v>
      </c>
      <c r="G78" s="7">
        <f t="shared" si="8"/>
        <v>26611</v>
      </c>
      <c r="H78" s="7">
        <f t="shared" si="9"/>
        <v>-68416</v>
      </c>
      <c r="I78" s="8">
        <f t="shared" si="10"/>
        <v>3.9020823814330616E-3</v>
      </c>
      <c r="J78" s="8">
        <f t="shared" si="11"/>
        <v>-1.0032124617944622E-2</v>
      </c>
      <c r="K78" s="6" t="str">
        <f>IF(ABS(G78-26611)&lt;0.005,"OK","CHECK")</f>
        <v>OK</v>
      </c>
      <c r="L78" t="s">
        <v>15</v>
      </c>
    </row>
    <row r="79" spans="1:12" ht="15" customHeight="1" x14ac:dyDescent="0.2">
      <c r="A79" s="5">
        <v>821</v>
      </c>
      <c r="B79" s="5" t="s">
        <v>93</v>
      </c>
      <c r="C79" s="6">
        <v>2</v>
      </c>
      <c r="D79" s="7">
        <v>7418684.6799999997</v>
      </c>
      <c r="E79" s="7">
        <v>7590206</v>
      </c>
      <c r="F79" s="7"/>
      <c r="G79" s="7">
        <f t="shared" si="8"/>
        <v>171521.3200000003</v>
      </c>
      <c r="H79" s="7">
        <f t="shared" si="9"/>
        <v>171521.3200000003</v>
      </c>
      <c r="I79" s="8">
        <f t="shared" si="10"/>
        <v>2.3120179303806224E-2</v>
      </c>
      <c r="J79" s="8">
        <f t="shared" si="11"/>
        <v>2.3120179303806224E-2</v>
      </c>
      <c r="K79" s="6" t="str">
        <f>IF(ABS(G79-171521.32)&lt;0.005,"OK","CHECK")</f>
        <v>OK</v>
      </c>
      <c r="L79" t="s">
        <v>23</v>
      </c>
    </row>
    <row r="80" spans="1:12" ht="15" customHeight="1" x14ac:dyDescent="0.2">
      <c r="A80" s="5">
        <v>381</v>
      </c>
      <c r="B80" s="5" t="s">
        <v>94</v>
      </c>
      <c r="C80" s="6">
        <v>2</v>
      </c>
      <c r="D80" s="7">
        <v>4892035</v>
      </c>
      <c r="E80" s="7">
        <v>4151879</v>
      </c>
      <c r="F80" s="7"/>
      <c r="G80" s="7">
        <f t="shared" si="8"/>
        <v>-740156</v>
      </c>
      <c r="H80" s="7">
        <f t="shared" si="9"/>
        <v>-740156</v>
      </c>
      <c r="I80" s="8">
        <f t="shared" si="10"/>
        <v>-0.15129818163606762</v>
      </c>
      <c r="J80" s="8">
        <f t="shared" si="11"/>
        <v>-0.15129818163606762</v>
      </c>
      <c r="K80" s="6" t="str">
        <f>IF(ABS(G80--740156)&lt;0.005,"OK","CHECK")</f>
        <v>OK</v>
      </c>
      <c r="L80" t="s">
        <v>15</v>
      </c>
    </row>
    <row r="81" spans="1:12" ht="15" customHeight="1" x14ac:dyDescent="0.2">
      <c r="A81" s="5">
        <v>597</v>
      </c>
      <c r="B81" s="5" t="s">
        <v>95</v>
      </c>
      <c r="C81" s="6">
        <v>2</v>
      </c>
      <c r="D81" s="7">
        <v>9717921</v>
      </c>
      <c r="E81" s="7">
        <v>9096377</v>
      </c>
      <c r="F81" s="7"/>
      <c r="G81" s="7">
        <f t="shared" si="8"/>
        <v>-621544</v>
      </c>
      <c r="H81" s="7">
        <f t="shared" si="9"/>
        <v>-621544</v>
      </c>
      <c r="I81" s="8">
        <f t="shared" si="10"/>
        <v>-6.3958535987275467E-2</v>
      </c>
      <c r="J81" s="8">
        <f t="shared" si="11"/>
        <v>-6.3958535987275467E-2</v>
      </c>
      <c r="K81" s="6" t="str">
        <f>IF(ABS(G81--621544)&lt;0.005,"OK","CHECK")</f>
        <v>OK</v>
      </c>
      <c r="L81" t="s">
        <v>15</v>
      </c>
    </row>
    <row r="82" spans="1:12" ht="15" customHeight="1" x14ac:dyDescent="0.2">
      <c r="A82" s="5">
        <v>762</v>
      </c>
      <c r="B82" s="5" t="s">
        <v>96</v>
      </c>
      <c r="C82" s="6">
        <v>2</v>
      </c>
      <c r="D82" s="7">
        <v>7145568</v>
      </c>
      <c r="E82" s="7">
        <v>7204698</v>
      </c>
      <c r="F82" s="7"/>
      <c r="G82" s="7">
        <f t="shared" si="8"/>
        <v>59130</v>
      </c>
      <c r="H82" s="7">
        <f t="shared" si="9"/>
        <v>59130</v>
      </c>
      <c r="I82" s="8">
        <f t="shared" si="10"/>
        <v>8.2750594494377487E-3</v>
      </c>
      <c r="J82" s="8">
        <f t="shared" si="11"/>
        <v>8.2750594494377487E-3</v>
      </c>
      <c r="K82" s="6" t="str">
        <f>IF(ABS(G82-59130)&lt;0.005,"OK","CHECK")</f>
        <v>OK</v>
      </c>
      <c r="L82" t="s">
        <v>15</v>
      </c>
    </row>
    <row r="83" spans="1:12" ht="15" customHeight="1" x14ac:dyDescent="0.2">
      <c r="A83" s="5">
        <v>761</v>
      </c>
      <c r="B83" s="5" t="s">
        <v>97</v>
      </c>
      <c r="C83" s="6">
        <v>2</v>
      </c>
      <c r="D83" s="7">
        <v>6987664.8300000001</v>
      </c>
      <c r="E83" s="7">
        <v>6560796</v>
      </c>
      <c r="F83" s="7"/>
      <c r="G83" s="7">
        <f t="shared" si="8"/>
        <v>-426868.83000000007</v>
      </c>
      <c r="H83" s="7">
        <f t="shared" si="9"/>
        <v>-426868.83000000007</v>
      </c>
      <c r="I83" s="8">
        <f t="shared" si="10"/>
        <v>-6.1088910299093448E-2</v>
      </c>
      <c r="J83" s="8">
        <f t="shared" si="11"/>
        <v>-6.1088910299093448E-2</v>
      </c>
      <c r="K83" s="6" t="str">
        <f>IF(ABS(G83--426868.83)&lt;0.005,"OK","CHECK")</f>
        <v>OK</v>
      </c>
      <c r="L83" t="s">
        <v>23</v>
      </c>
    </row>
    <row r="84" spans="1:12" ht="15" customHeight="1" x14ac:dyDescent="0.2">
      <c r="A84" s="5">
        <v>471</v>
      </c>
      <c r="B84" s="5" t="s">
        <v>98</v>
      </c>
      <c r="C84" s="6">
        <v>2</v>
      </c>
      <c r="D84" s="7">
        <v>7967619</v>
      </c>
      <c r="E84" s="7">
        <v>8111954</v>
      </c>
      <c r="F84" s="9">
        <v>44763</v>
      </c>
      <c r="G84" s="7">
        <f t="shared" si="8"/>
        <v>189098</v>
      </c>
      <c r="H84" s="7">
        <f t="shared" si="9"/>
        <v>144335</v>
      </c>
      <c r="I84" s="8">
        <f t="shared" si="10"/>
        <v>2.373331355327106E-2</v>
      </c>
      <c r="J84" s="8">
        <f t="shared" si="11"/>
        <v>1.811519853045182E-2</v>
      </c>
      <c r="K84" s="6" t="str">
        <f>IF(ABS(G84-189098)&lt;0.005,"OK","CHECK")</f>
        <v>OK</v>
      </c>
      <c r="L84" t="s">
        <v>15</v>
      </c>
    </row>
    <row r="85" spans="1:12" ht="15" customHeight="1" x14ac:dyDescent="0.2">
      <c r="A85" s="5">
        <v>391</v>
      </c>
      <c r="B85" s="5" t="s">
        <v>99</v>
      </c>
      <c r="C85" s="6">
        <v>2</v>
      </c>
      <c r="D85" s="7">
        <v>5981388</v>
      </c>
      <c r="E85" s="7">
        <v>5853396</v>
      </c>
      <c r="F85" s="9">
        <v>31499</v>
      </c>
      <c r="G85" s="7">
        <f t="shared" si="8"/>
        <v>-96493</v>
      </c>
      <c r="H85" s="7">
        <f t="shared" si="9"/>
        <v>-127992</v>
      </c>
      <c r="I85" s="8">
        <f t="shared" si="10"/>
        <v>-1.6132208778296943E-2</v>
      </c>
      <c r="J85" s="8">
        <f t="shared" si="11"/>
        <v>-2.1398377767835826E-2</v>
      </c>
      <c r="K85" s="6" t="str">
        <f>IF(ABS(G85--96493)&lt;0.005,"OK","CHECK")</f>
        <v>OK</v>
      </c>
      <c r="L85" t="s">
        <v>15</v>
      </c>
    </row>
    <row r="86" spans="1:12" ht="15" customHeight="1" x14ac:dyDescent="0.2">
      <c r="A86" s="5">
        <v>242</v>
      </c>
      <c r="B86" s="5" t="s">
        <v>100</v>
      </c>
      <c r="C86" s="6">
        <v>2</v>
      </c>
      <c r="D86" s="7">
        <v>7097809.04</v>
      </c>
      <c r="E86" s="7">
        <v>5533603</v>
      </c>
      <c r="F86" s="7"/>
      <c r="G86" s="7">
        <f t="shared" si="8"/>
        <v>-1564206.04</v>
      </c>
      <c r="H86" s="7">
        <f t="shared" si="9"/>
        <v>-1564206.04</v>
      </c>
      <c r="I86" s="8">
        <f t="shared" si="10"/>
        <v>-0.22037871562687181</v>
      </c>
      <c r="J86" s="8">
        <f t="shared" si="11"/>
        <v>-0.22037871562687181</v>
      </c>
      <c r="K86" s="6" t="str">
        <f>IF(ABS(G86--1564206.04)&lt;0.005,"OK","CHECK")</f>
        <v>OK</v>
      </c>
      <c r="L86" t="s">
        <v>23</v>
      </c>
    </row>
    <row r="87" spans="1:12" ht="15" customHeight="1" x14ac:dyDescent="0.2">
      <c r="A87" s="5">
        <v>851</v>
      </c>
      <c r="B87" s="5" t="s">
        <v>101</v>
      </c>
      <c r="C87" s="6">
        <v>2</v>
      </c>
      <c r="D87" s="7">
        <v>15407385</v>
      </c>
      <c r="E87" s="7">
        <v>15092292</v>
      </c>
      <c r="F87" s="9">
        <v>170259</v>
      </c>
      <c r="G87" s="7">
        <f t="shared" si="8"/>
        <v>-144834</v>
      </c>
      <c r="H87" s="7">
        <f t="shared" si="9"/>
        <v>-315093</v>
      </c>
      <c r="I87" s="8">
        <f t="shared" si="10"/>
        <v>-9.4002973249516387E-3</v>
      </c>
      <c r="J87" s="8">
        <f t="shared" si="11"/>
        <v>-2.0450777338269926E-2</v>
      </c>
      <c r="K87" s="6" t="str">
        <f>IF(ABS(G87--144834)&lt;0.005,"OK","CHECK")</f>
        <v>OK</v>
      </c>
      <c r="L87" t="s">
        <v>18</v>
      </c>
    </row>
    <row r="88" spans="1:12" ht="15" customHeight="1" x14ac:dyDescent="0.2">
      <c r="A88" s="5">
        <v>401</v>
      </c>
      <c r="B88" s="5" t="s">
        <v>102</v>
      </c>
      <c r="C88" s="6">
        <v>2</v>
      </c>
      <c r="D88" s="7">
        <v>6526074</v>
      </c>
      <c r="E88" s="7">
        <v>5877086</v>
      </c>
      <c r="F88" s="9">
        <v>87548</v>
      </c>
      <c r="G88" s="7">
        <f t="shared" si="8"/>
        <v>-561440</v>
      </c>
      <c r="H88" s="7">
        <f t="shared" si="9"/>
        <v>-648988</v>
      </c>
      <c r="I88" s="8">
        <f t="shared" si="10"/>
        <v>-8.6030284057459355E-2</v>
      </c>
      <c r="J88" s="8">
        <f t="shared" si="11"/>
        <v>-9.9445393968870102E-2</v>
      </c>
      <c r="K88" s="6" t="str">
        <f>IF(ABS(G88--561440)&lt;0.005,"OK","CHECK")</f>
        <v>OK</v>
      </c>
      <c r="L88" t="s">
        <v>15</v>
      </c>
    </row>
    <row r="89" spans="1:12" ht="15" customHeight="1" x14ac:dyDescent="0.2">
      <c r="A89" s="10"/>
      <c r="B89" s="11" t="s">
        <v>103</v>
      </c>
      <c r="C89" s="10"/>
      <c r="D89" s="12">
        <f>SUM(D5:D88)</f>
        <v>624779275.75</v>
      </c>
      <c r="E89" s="12">
        <f>SUM(E5:E88)</f>
        <v>593321736.59000003</v>
      </c>
      <c r="F89" s="12">
        <f>SUM(F5:F88)</f>
        <v>6196208</v>
      </c>
      <c r="G89" s="12">
        <f>SUM(G5:G88)</f>
        <v>-25261331.159999996</v>
      </c>
      <c r="H89" s="12">
        <f>SUM(H5:H88)</f>
        <v>-31457539.159999996</v>
      </c>
      <c r="I89" s="13">
        <f>G89/D89</f>
        <v>-4.0432408917014238E-2</v>
      </c>
      <c r="J89" s="13">
        <f>H89/D89</f>
        <v>-5.0349844146538973E-2</v>
      </c>
      <c r="K89" s="14" t="str">
        <f>IF(COUNTIF(K5:K88,"CHECK")=0,"ALL OK","SEE CHECKS")</f>
        <v>ALL OK</v>
      </c>
    </row>
    <row r="91" spans="1:12" ht="15" customHeight="1" x14ac:dyDescent="0.2">
      <c r="B91" s="15" t="s">
        <v>104</v>
      </c>
      <c r="D91" s="16">
        <v>624779275.75</v>
      </c>
      <c r="E91" s="16">
        <v>593321736.59000003</v>
      </c>
      <c r="F91" s="16">
        <v>6196208</v>
      </c>
      <c r="G91" s="16">
        <v>-25261331.16</v>
      </c>
    </row>
    <row r="92" spans="1:12" ht="15" customHeight="1" x14ac:dyDescent="0.2">
      <c r="B92" s="15" t="s">
        <v>105</v>
      </c>
      <c r="D92" s="17">
        <f>D89-D91</f>
        <v>0</v>
      </c>
      <c r="E92" s="17">
        <f>E89-E91</f>
        <v>0</v>
      </c>
      <c r="F92" s="17">
        <f>F89-F91</f>
        <v>0</v>
      </c>
      <c r="G92" s="17">
        <f>G89-G91</f>
        <v>0</v>
      </c>
      <c r="K92" s="18" t="str">
        <f>IF(AND(ABS(D92)&lt;0.005,ABS(E92)&lt;0.005,ABS(F92)&lt;0.005),"TIES OUT","VARIANCE")</f>
        <v>TIES OUT</v>
      </c>
    </row>
    <row r="94" spans="1:12" ht="15" customHeight="1" x14ac:dyDescent="0.2">
      <c r="A94" s="19" t="s">
        <v>106</v>
      </c>
    </row>
    <row r="95" spans="1:12" ht="15" customHeight="1" x14ac:dyDescent="0.2">
      <c r="A95" s="2" t="s">
        <v>107</v>
      </c>
    </row>
    <row r="96" spans="1:12" ht="15" customHeight="1" x14ac:dyDescent="0.2">
      <c r="A96" s="2" t="s">
        <v>108</v>
      </c>
    </row>
    <row r="97" spans="1:1" ht="15" customHeight="1" x14ac:dyDescent="0.2">
      <c r="A97" s="2" t="s">
        <v>109</v>
      </c>
    </row>
    <row r="98" spans="1:1" ht="15" customHeight="1" x14ac:dyDescent="0.2">
      <c r="A98" s="2" t="s">
        <v>110</v>
      </c>
    </row>
    <row r="99" spans="1:1" ht="15" customHeight="1" x14ac:dyDescent="0.2">
      <c r="A99" s="2" t="s">
        <v>111</v>
      </c>
    </row>
    <row r="100" spans="1:1" ht="15" customHeight="1" x14ac:dyDescent="0.2">
      <c r="A100" s="2" t="s">
        <v>112</v>
      </c>
    </row>
  </sheetData>
  <autoFilter ref="A4:K88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zoomScaleNormal="100" workbookViewId="0">
      <selection activeCell="B8" sqref="B8"/>
    </sheetView>
  </sheetViews>
  <sheetFormatPr baseColWidth="10" defaultColWidth="8.6640625" defaultRowHeight="15" x14ac:dyDescent="0.2"/>
  <cols>
    <col min="1" max="1" width="48" customWidth="1"/>
    <col min="2" max="2" width="22" customWidth="1"/>
  </cols>
  <sheetData>
    <row r="1" spans="1:2" ht="16.5" customHeight="1" x14ac:dyDescent="0.2">
      <c r="A1" s="1" t="s">
        <v>113</v>
      </c>
    </row>
    <row r="2" spans="1:2" ht="15" customHeight="1" x14ac:dyDescent="0.2">
      <c r="A2" s="2" t="s">
        <v>114</v>
      </c>
    </row>
    <row r="4" spans="1:2" ht="15" customHeight="1" x14ac:dyDescent="0.2">
      <c r="A4" s="15" t="s">
        <v>115</v>
      </c>
      <c r="B4" s="20">
        <f>COUNTA('FY26-FY27 DRA-CSR'!B5:B88)</f>
        <v>84</v>
      </c>
    </row>
    <row r="5" spans="1:2" ht="15" customHeight="1" x14ac:dyDescent="0.2">
      <c r="A5" s="15" t="s">
        <v>116</v>
      </c>
      <c r="B5" s="20">
        <f>COUNTIF('FY26-FY27 DRA-CSR'!G5:G88,"&lt;0")</f>
        <v>65</v>
      </c>
    </row>
    <row r="6" spans="1:2" ht="15" customHeight="1" x14ac:dyDescent="0.2">
      <c r="A6" s="15" t="s">
        <v>117</v>
      </c>
      <c r="B6" s="20">
        <f>COUNTIF('FY26-FY27 DRA-CSR'!G5:G88,"&gt;0")</f>
        <v>19</v>
      </c>
    </row>
    <row r="7" spans="1:2" ht="15" customHeight="1" x14ac:dyDescent="0.2">
      <c r="A7" s="15" t="s">
        <v>118</v>
      </c>
      <c r="B7" s="20">
        <f>COUNT('FY26-FY27 DRA-CSR'!F5:F88)</f>
        <v>43</v>
      </c>
    </row>
    <row r="8" spans="1:2" ht="15" customHeight="1" x14ac:dyDescent="0.2">
      <c r="A8" s="15" t="s">
        <v>119</v>
      </c>
      <c r="B8" s="20">
        <f>COUNTIF('FY26-FY27 DRA-CSR'!F5:F88,"&gt;0")</f>
        <v>43</v>
      </c>
    </row>
    <row r="10" spans="1:2" ht="15" customHeight="1" x14ac:dyDescent="0.2">
      <c r="A10" s="15" t="s">
        <v>120</v>
      </c>
      <c r="B10" s="21">
        <f>SUM('FY26-FY27 DRA-CSR'!D5:D88)</f>
        <v>624779275.75</v>
      </c>
    </row>
    <row r="11" spans="1:2" ht="15" customHeight="1" x14ac:dyDescent="0.2">
      <c r="A11" s="15" t="s">
        <v>121</v>
      </c>
      <c r="B11" s="21">
        <f>SUM('FY26-FY27 DRA-CSR'!E5:E88)</f>
        <v>593321736.59000003</v>
      </c>
    </row>
    <row r="12" spans="1:2" ht="15" customHeight="1" x14ac:dyDescent="0.2">
      <c r="A12" s="15" t="s">
        <v>122</v>
      </c>
      <c r="B12" s="21">
        <f>SUM('FY26-FY27 DRA-CSR'!F5:F88)</f>
        <v>6196208</v>
      </c>
    </row>
    <row r="14" spans="1:2" ht="15" customHeight="1" x14ac:dyDescent="0.2">
      <c r="A14" s="15" t="s">
        <v>123</v>
      </c>
      <c r="B14" s="21">
        <f>SUM('FY26-FY27 DRA-CSR'!G5:G88)</f>
        <v>-25261331.159999996</v>
      </c>
    </row>
    <row r="15" spans="1:2" ht="15" customHeight="1" x14ac:dyDescent="0.2">
      <c r="A15" s="15" t="s">
        <v>124</v>
      </c>
      <c r="B15" s="21">
        <f>SUM('FY26-FY27 DRA-CSR'!H5:H88)</f>
        <v>-31457539.159999996</v>
      </c>
    </row>
    <row r="16" spans="1:2" ht="15" customHeight="1" x14ac:dyDescent="0.2">
      <c r="A16" s="15" t="s">
        <v>125</v>
      </c>
      <c r="B16" s="21">
        <f>SUM('FY26-FY27 DRA-CSR'!F5:F88)</f>
        <v>6196208</v>
      </c>
    </row>
    <row r="18" spans="1:2" ht="15" customHeight="1" x14ac:dyDescent="0.2">
      <c r="A18" s="15" t="s">
        <v>126</v>
      </c>
      <c r="B18" s="22">
        <f>SUM('FY26-FY27 DRA-CSR'!G5:G88)/SUM('FY26-FY27 DRA-CSR'!D5:D88)</f>
        <v>-4.0432408917014238E-2</v>
      </c>
    </row>
    <row r="19" spans="1:2" ht="15" customHeight="1" x14ac:dyDescent="0.2">
      <c r="A19" s="15" t="s">
        <v>127</v>
      </c>
      <c r="B19" s="22">
        <f>SUM('FY26-FY27 DRA-CSR'!H5:H88)/SUM('FY26-FY27 DRA-CSR'!D5:D88)</f>
        <v>-5.0349844146538973E-2</v>
      </c>
    </row>
    <row r="21" spans="1:2" ht="15" customHeight="1" x14ac:dyDescent="0.2">
      <c r="A21" s="15" t="s">
        <v>128</v>
      </c>
      <c r="B21" s="21">
        <f>MIN('FY26-FY27 DRA-CSR'!G5:G88)</f>
        <v>-3308036.6099999994</v>
      </c>
    </row>
    <row r="22" spans="1:2" ht="15" customHeight="1" x14ac:dyDescent="0.2">
      <c r="A22" s="15" t="s">
        <v>129</v>
      </c>
      <c r="B22" s="21">
        <f>MAX('FY26-FY27 DRA-CSR'!G5:G88)</f>
        <v>2759868.0700000003</v>
      </c>
    </row>
    <row r="23" spans="1:2" ht="15" customHeight="1" x14ac:dyDescent="0.2">
      <c r="A23" s="15" t="s">
        <v>130</v>
      </c>
      <c r="B23" s="21">
        <f>MAX('FY26-FY27 DRA-CSR'!F5:F88)</f>
        <v>531572</v>
      </c>
    </row>
    <row r="25" spans="1:2" ht="15" customHeight="1" x14ac:dyDescent="0.2">
      <c r="A25" s="15" t="s">
        <v>131</v>
      </c>
      <c r="B25" s="23" t="str">
        <f>IF(COUNTIF('FY26-FY27 DRA-CSR'!K5:K88,"CHECK")=0,"All rows reconcile","Discrepancies")</f>
        <v>All rows reconcile</v>
      </c>
    </row>
    <row r="26" spans="1:2" ht="15" customHeight="1" x14ac:dyDescent="0.2">
      <c r="A26" s="15" t="s">
        <v>132</v>
      </c>
      <c r="B26" s="23" t="str">
        <f>'FY26-FY27 DRA-CSR'!K92</f>
        <v>TIES OUT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1"/>
  <sheetViews>
    <sheetView topLeftCell="A20" zoomScaleNormal="100" workbookViewId="0">
      <selection activeCell="I33" sqref="I33"/>
    </sheetView>
  </sheetViews>
  <sheetFormatPr baseColWidth="10" defaultColWidth="8.6640625" defaultRowHeight="15" x14ac:dyDescent="0.2"/>
  <cols>
    <col min="1" max="1" width="46" customWidth="1"/>
    <col min="2" max="2" width="9" customWidth="1"/>
    <col min="3" max="4" width="16" customWidth="1"/>
    <col min="5" max="5" width="15" customWidth="1"/>
    <col min="6" max="6" width="18" customWidth="1"/>
    <col min="7" max="7" width="19" customWidth="1"/>
    <col min="8" max="8" width="13" customWidth="1"/>
    <col min="9" max="9" width="14" customWidth="1"/>
    <col min="10" max="10" width="16" customWidth="1"/>
  </cols>
  <sheetData>
    <row r="1" spans="1:10" ht="17" x14ac:dyDescent="0.2">
      <c r="A1" s="24" t="s">
        <v>133</v>
      </c>
    </row>
    <row r="2" spans="1:10" x14ac:dyDescent="0.2">
      <c r="A2" s="25" t="s">
        <v>134</v>
      </c>
    </row>
    <row r="4" spans="1:10" x14ac:dyDescent="0.2">
      <c r="A4" s="26" t="s">
        <v>135</v>
      </c>
    </row>
    <row r="5" spans="1:10" x14ac:dyDescent="0.2">
      <c r="A5" s="25" t="s">
        <v>136</v>
      </c>
    </row>
    <row r="6" spans="1:10" ht="42" customHeight="1" x14ac:dyDescent="0.2">
      <c r="A6" s="27" t="s">
        <v>137</v>
      </c>
      <c r="B6" s="27" t="s">
        <v>138</v>
      </c>
      <c r="C6" s="27" t="s">
        <v>139</v>
      </c>
      <c r="D6" s="27" t="s">
        <v>140</v>
      </c>
      <c r="E6" s="27" t="s">
        <v>7</v>
      </c>
      <c r="F6" s="27" t="s">
        <v>141</v>
      </c>
      <c r="G6" s="27" t="s">
        <v>142</v>
      </c>
      <c r="H6" s="27" t="s">
        <v>143</v>
      </c>
      <c r="I6" s="27" t="s">
        <v>144</v>
      </c>
      <c r="J6" s="27" t="s">
        <v>145</v>
      </c>
    </row>
    <row r="7" spans="1:10" x14ac:dyDescent="0.2">
      <c r="A7" s="28" t="s">
        <v>15</v>
      </c>
      <c r="B7" s="29">
        <f>COUNTIFS('FY26-FY27 DRA-CSR'!$L$5:$L$88,"Elementary")</f>
        <v>44</v>
      </c>
      <c r="C7" s="30">
        <f>SUMIFS('FY26-FY27 DRA-CSR'!$D$5:$D$88,'FY26-FY27 DRA-CSR'!$L$5:$L$88,"Elementary")</f>
        <v>287405454</v>
      </c>
      <c r="D7" s="30">
        <f>SUMIFS('FY26-FY27 DRA-CSR'!$E$5:$E$88,'FY26-FY27 DRA-CSR'!$L$5:$L$88,"Elementary")</f>
        <v>269840680</v>
      </c>
      <c r="E7" s="30">
        <f>SUMIFS('FY26-FY27 DRA-CSR'!$F$5:$F$88,'FY26-FY27 DRA-CSR'!$L$5:$L$88,"Elementary")</f>
        <v>2786439</v>
      </c>
      <c r="F7" s="30">
        <f>SUMIFS('FY26-FY27 DRA-CSR'!$G$5:$G$88,'FY26-FY27 DRA-CSR'!$L$5:$L$88,"Elementary")</f>
        <v>-14778335</v>
      </c>
      <c r="G7" s="30">
        <f>SUMIFS('FY26-FY27 DRA-CSR'!$H$5:$H$88,'FY26-FY27 DRA-CSR'!$L$5:$L$88,"Elementary")</f>
        <v>-17564774</v>
      </c>
      <c r="H7" s="31">
        <f>IFERROR(F7/C7,"n/a")</f>
        <v>-5.1419814044308287E-2</v>
      </c>
      <c r="I7" s="31">
        <f>IFERROR(G7/C7,"n/a")</f>
        <v>-6.1114964088329372E-2</v>
      </c>
      <c r="J7" s="32">
        <v>-6.3958535987275494E-2</v>
      </c>
    </row>
    <row r="8" spans="1:10" x14ac:dyDescent="0.2">
      <c r="A8" s="28" t="s">
        <v>23</v>
      </c>
      <c r="B8" s="29">
        <f>COUNTIFS('FY26-FY27 DRA-CSR'!$L$5:$L$88,"Middle School")</f>
        <v>17</v>
      </c>
      <c r="C8" s="30">
        <f>SUMIFS('FY26-FY27 DRA-CSR'!$D$5:$D$88,'FY26-FY27 DRA-CSR'!$L$5:$L$88,"Middle School")</f>
        <v>118303443.60000002</v>
      </c>
      <c r="D8" s="30">
        <f>SUMIFS('FY26-FY27 DRA-CSR'!$E$5:$E$88,'FY26-FY27 DRA-CSR'!$L$5:$L$88,"Middle School")</f>
        <v>110914302.19</v>
      </c>
      <c r="E8" s="30">
        <f>SUMIFS('FY26-FY27 DRA-CSR'!$F$5:$F$88,'FY26-FY27 DRA-CSR'!$L$5:$L$88,"Middle School")</f>
        <v>492032</v>
      </c>
      <c r="F8" s="30">
        <f>SUMIFS('FY26-FY27 DRA-CSR'!$G$5:$G$88,'FY26-FY27 DRA-CSR'!$L$5:$L$88,"Middle School")</f>
        <v>-6897109.4099999974</v>
      </c>
      <c r="G8" s="30">
        <f>SUMIFS('FY26-FY27 DRA-CSR'!$H$5:$H$88,'FY26-FY27 DRA-CSR'!$L$5:$L$88,"Middle School")</f>
        <v>-7389141.4099999974</v>
      </c>
      <c r="H8" s="31">
        <f>IFERROR(F8/C8,"n/a")</f>
        <v>-5.8300157629561984E-2</v>
      </c>
      <c r="I8" s="31">
        <f>IFERROR(G8/C8,"n/a")</f>
        <v>-6.2459225066885504E-2</v>
      </c>
      <c r="J8" s="32">
        <v>-6.1088910299093399E-2</v>
      </c>
    </row>
    <row r="9" spans="1:10" x14ac:dyDescent="0.2">
      <c r="A9" s="28" t="s">
        <v>21</v>
      </c>
      <c r="B9" s="29">
        <f>COUNTIFS('FY26-FY27 DRA-CSR'!$L$5:$L$88,"High School")</f>
        <v>15</v>
      </c>
      <c r="C9" s="30">
        <f>SUMIFS('FY26-FY27 DRA-CSR'!$D$5:$D$88,'FY26-FY27 DRA-CSR'!$L$5:$L$88,"High School")</f>
        <v>161064428.14999998</v>
      </c>
      <c r="D9" s="30">
        <f>SUMIFS('FY26-FY27 DRA-CSR'!$E$5:$E$88,'FY26-FY27 DRA-CSR'!$L$5:$L$88,"High School")</f>
        <v>154970687.40000001</v>
      </c>
      <c r="E9" s="30">
        <f>SUMIFS('FY26-FY27 DRA-CSR'!$F$5:$F$88,'FY26-FY27 DRA-CSR'!$L$5:$L$88,"High School")</f>
        <v>1861728</v>
      </c>
      <c r="F9" s="30">
        <f>SUMIFS('FY26-FY27 DRA-CSR'!$G$5:$G$88,'FY26-FY27 DRA-CSR'!$L$5:$L$88,"High School")</f>
        <v>-4232012.7500000047</v>
      </c>
      <c r="G9" s="30">
        <f>SUMIFS('FY26-FY27 DRA-CSR'!$H$5:$H$88,'FY26-FY27 DRA-CSR'!$L$5:$L$88,"High School")</f>
        <v>-6093740.7500000047</v>
      </c>
      <c r="H9" s="31">
        <f>IFERROR(F9/C9,"n/a")</f>
        <v>-2.6275278772658065E-2</v>
      </c>
      <c r="I9" s="31">
        <f>IFERROR(G9/C9,"n/a")</f>
        <v>-3.7834181141008234E-2</v>
      </c>
      <c r="J9" s="32">
        <v>-1.81408824490033E-2</v>
      </c>
    </row>
    <row r="10" spans="1:10" x14ac:dyDescent="0.2">
      <c r="A10" s="28" t="s">
        <v>18</v>
      </c>
      <c r="B10" s="29">
        <f>COUNTIFS('FY26-FY27 DRA-CSR'!$L$5:$L$88,"K-8")</f>
        <v>7</v>
      </c>
      <c r="C10" s="30">
        <f>SUMIFS('FY26-FY27 DRA-CSR'!$D$5:$D$88,'FY26-FY27 DRA-CSR'!$L$5:$L$88,"K-8")</f>
        <v>53027860</v>
      </c>
      <c r="D10" s="30">
        <f>SUMIFS('FY26-FY27 DRA-CSR'!$E$5:$E$88,'FY26-FY27 DRA-CSR'!$L$5:$L$88,"K-8")</f>
        <v>53832461</v>
      </c>
      <c r="E10" s="30">
        <f>SUMIFS('FY26-FY27 DRA-CSR'!$F$5:$F$88,'FY26-FY27 DRA-CSR'!$L$5:$L$88,"K-8")</f>
        <v>1042170</v>
      </c>
      <c r="F10" s="30">
        <f>SUMIFS('FY26-FY27 DRA-CSR'!$G$5:$G$88,'FY26-FY27 DRA-CSR'!$L$5:$L$88,"K-8")</f>
        <v>1846771</v>
      </c>
      <c r="G10" s="30">
        <f>SUMIFS('FY26-FY27 DRA-CSR'!$H$5:$H$88,'FY26-FY27 DRA-CSR'!$L$5:$L$88,"K-8")</f>
        <v>804601</v>
      </c>
      <c r="H10" s="31">
        <f>IFERROR(F10/C10,"n/a")</f>
        <v>3.4826428975259421E-2</v>
      </c>
      <c r="I10" s="31">
        <f>IFERROR(G10/C10,"n/a")</f>
        <v>1.5173175006496585E-2</v>
      </c>
      <c r="J10" s="32">
        <v>-4.4120239454301498E-2</v>
      </c>
    </row>
    <row r="11" spans="1:10" x14ac:dyDescent="0.2">
      <c r="A11" s="28" t="s">
        <v>59</v>
      </c>
      <c r="B11" s="29">
        <f>COUNTIFS('FY26-FY27 DRA-CSR'!$L$5:$L$88,"Special Center")</f>
        <v>1</v>
      </c>
      <c r="C11" s="30">
        <f>SUMIFS('FY26-FY27 DRA-CSR'!$D$5:$D$88,'FY26-FY27 DRA-CSR'!$L$5:$L$88,"Special Center")</f>
        <v>4978090</v>
      </c>
      <c r="D11" s="30">
        <f>SUMIFS('FY26-FY27 DRA-CSR'!$E$5:$E$88,'FY26-FY27 DRA-CSR'!$L$5:$L$88,"Special Center")</f>
        <v>3763606</v>
      </c>
      <c r="E11" s="30">
        <f>SUMIFS('FY26-FY27 DRA-CSR'!$F$5:$F$88,'FY26-FY27 DRA-CSR'!$L$5:$L$88,"Special Center")</f>
        <v>13839</v>
      </c>
      <c r="F11" s="30">
        <f>SUMIFS('FY26-FY27 DRA-CSR'!$G$5:$G$88,'FY26-FY27 DRA-CSR'!$L$5:$L$88,"Special Center")</f>
        <v>-1200645</v>
      </c>
      <c r="G11" s="30">
        <f>SUMIFS('FY26-FY27 DRA-CSR'!$H$5:$H$88,'FY26-FY27 DRA-CSR'!$L$5:$L$88,"Special Center")</f>
        <v>-1214484</v>
      </c>
      <c r="H11" s="31">
        <f>IFERROR(F11/C11,"n/a")</f>
        <v>-0.24118587651087064</v>
      </c>
      <c r="I11" s="31">
        <f>IFERROR(G11/C11,"n/a")</f>
        <v>-0.24396585839147142</v>
      </c>
      <c r="J11" s="32">
        <v>-0.243965858391471</v>
      </c>
    </row>
    <row r="12" spans="1:10" x14ac:dyDescent="0.2">
      <c r="A12" s="33" t="s">
        <v>146</v>
      </c>
      <c r="B12" s="34">
        <f t="shared" ref="B12:G12" si="0">SUM(B7:B11)</f>
        <v>84</v>
      </c>
      <c r="C12" s="35">
        <f t="shared" si="0"/>
        <v>624779275.75</v>
      </c>
      <c r="D12" s="35">
        <f t="shared" si="0"/>
        <v>593321736.59000003</v>
      </c>
      <c r="E12" s="35">
        <f t="shared" si="0"/>
        <v>6196208</v>
      </c>
      <c r="F12" s="35">
        <f t="shared" si="0"/>
        <v>-25261331.16</v>
      </c>
      <c r="G12" s="35">
        <f t="shared" si="0"/>
        <v>-31457539.16</v>
      </c>
      <c r="H12" s="36">
        <f>F12/C12</f>
        <v>-4.0432408917014245E-2</v>
      </c>
      <c r="I12" s="36">
        <f>G12/C12</f>
        <v>-5.034984414653898E-2</v>
      </c>
      <c r="J12" s="37"/>
    </row>
    <row r="15" spans="1:10" x14ac:dyDescent="0.2">
      <c r="A15" s="26" t="s">
        <v>147</v>
      </c>
    </row>
    <row r="16" spans="1:10" x14ac:dyDescent="0.2">
      <c r="A16" s="25" t="s">
        <v>148</v>
      </c>
    </row>
    <row r="17" spans="1:10" ht="42" customHeight="1" x14ac:dyDescent="0.2">
      <c r="A17" s="27" t="s">
        <v>137</v>
      </c>
      <c r="B17" s="27" t="s">
        <v>138</v>
      </c>
      <c r="C17" s="27" t="s">
        <v>139</v>
      </c>
      <c r="D17" s="27" t="s">
        <v>140</v>
      </c>
      <c r="E17" s="27" t="s">
        <v>7</v>
      </c>
      <c r="F17" s="27" t="s">
        <v>141</v>
      </c>
      <c r="G17" s="27" t="s">
        <v>142</v>
      </c>
      <c r="H17" s="27" t="s">
        <v>143</v>
      </c>
      <c r="I17" s="27" t="s">
        <v>144</v>
      </c>
      <c r="J17" s="27" t="s">
        <v>145</v>
      </c>
    </row>
    <row r="18" spans="1:10" x14ac:dyDescent="0.2">
      <c r="A18" s="28" t="s">
        <v>15</v>
      </c>
      <c r="B18" s="29">
        <f>COUNTIFS('FY26-FY27 DRA-CSR'!$L$5:$L$88,"Elementary",'FY26-FY27 DRA-CSR'!$B$5:$B$88,"&lt;&gt;Fort Myers Beach")</f>
        <v>43</v>
      </c>
      <c r="C18" s="30">
        <f>SUMIFS('FY26-FY27 DRA-CSR'!$D$5:$D$88,'FY26-FY27 DRA-CSR'!$L$5:$L$88,"Elementary",'FY26-FY27 DRA-CSR'!$B$5:$B$88,"&lt;&gt;Fort Myers Beach")</f>
        <v>286400906</v>
      </c>
      <c r="D18" s="30">
        <f>SUMIFS('FY26-FY27 DRA-CSR'!$E$5:$E$88,'FY26-FY27 DRA-CSR'!$L$5:$L$88,"Elementary",'FY26-FY27 DRA-CSR'!$B$5:$B$88,"&lt;&gt;Fort Myers Beach")</f>
        <v>269597507</v>
      </c>
      <c r="E18" s="30">
        <f>SUMIFS('FY26-FY27 DRA-CSR'!$F$5:$F$88,'FY26-FY27 DRA-CSR'!$L$5:$L$88,"Elementary",'FY26-FY27 DRA-CSR'!$B$5:$B$88,"&lt;&gt;Fort Myers Beach")</f>
        <v>2786439</v>
      </c>
      <c r="F18" s="30">
        <f>SUMIFS('FY26-FY27 DRA-CSR'!$G$5:$G$88,'FY26-FY27 DRA-CSR'!$L$5:$L$88,"Elementary",'FY26-FY27 DRA-CSR'!$B$5:$B$88,"&lt;&gt;Fort Myers Beach")</f>
        <v>-14016960</v>
      </c>
      <c r="G18" s="30">
        <f>SUMIFS('FY26-FY27 DRA-CSR'!$H$5:$H$88,'FY26-FY27 DRA-CSR'!$L$5:$L$88,"Elementary",'FY26-FY27 DRA-CSR'!$B$5:$B$88,"&lt;&gt;Fort Myers Beach")</f>
        <v>-16803399</v>
      </c>
      <c r="H18" s="31">
        <f>IFERROR(F18/C18,"n/a")</f>
        <v>-4.894174461864307E-2</v>
      </c>
      <c r="I18" s="31">
        <f>IFERROR(G18/C18,"n/a")</f>
        <v>-5.8670900293869878E-2</v>
      </c>
      <c r="J18" s="32">
        <v>-6.2682070853301505E-2</v>
      </c>
    </row>
    <row r="19" spans="1:10" x14ac:dyDescent="0.2">
      <c r="A19" s="28" t="s">
        <v>23</v>
      </c>
      <c r="B19" s="29">
        <f>COUNTIFS('FY26-FY27 DRA-CSR'!$L$5:$L$88,"Middle School",'FY26-FY27 DRA-CSR'!$B$5:$B$88,"&lt;&gt;Fort Myers Beach")</f>
        <v>17</v>
      </c>
      <c r="C19" s="30">
        <f>SUMIFS('FY26-FY27 DRA-CSR'!$D$5:$D$88,'FY26-FY27 DRA-CSR'!$L$5:$L$88,"Middle School",'FY26-FY27 DRA-CSR'!$B$5:$B$88,"&lt;&gt;Fort Myers Beach")</f>
        <v>118303443.60000002</v>
      </c>
      <c r="D19" s="30">
        <f>SUMIFS('FY26-FY27 DRA-CSR'!$E$5:$E$88,'FY26-FY27 DRA-CSR'!$L$5:$L$88,"Middle School",'FY26-FY27 DRA-CSR'!$B$5:$B$88,"&lt;&gt;Fort Myers Beach")</f>
        <v>110914302.19</v>
      </c>
      <c r="E19" s="30">
        <f>SUMIFS('FY26-FY27 DRA-CSR'!$F$5:$F$88,'FY26-FY27 DRA-CSR'!$L$5:$L$88,"Middle School",'FY26-FY27 DRA-CSR'!$B$5:$B$88,"&lt;&gt;Fort Myers Beach")</f>
        <v>492032</v>
      </c>
      <c r="F19" s="30">
        <f>SUMIFS('FY26-FY27 DRA-CSR'!$G$5:$G$88,'FY26-FY27 DRA-CSR'!$L$5:$L$88,"Middle School",'FY26-FY27 DRA-CSR'!$B$5:$B$88,"&lt;&gt;Fort Myers Beach")</f>
        <v>-6897109.4099999974</v>
      </c>
      <c r="G19" s="30">
        <f>SUMIFS('FY26-FY27 DRA-CSR'!$H$5:$H$88,'FY26-FY27 DRA-CSR'!$L$5:$L$88,"Middle School",'FY26-FY27 DRA-CSR'!$B$5:$B$88,"&lt;&gt;Fort Myers Beach")</f>
        <v>-7389141.4099999974</v>
      </c>
      <c r="H19" s="31">
        <f>IFERROR(F19/C19,"n/a")</f>
        <v>-5.8300157629561984E-2</v>
      </c>
      <c r="I19" s="31">
        <f>IFERROR(G19/C19,"n/a")</f>
        <v>-6.2459225066885504E-2</v>
      </c>
      <c r="J19" s="32">
        <v>-6.1088910299093399E-2</v>
      </c>
    </row>
    <row r="20" spans="1:10" x14ac:dyDescent="0.2">
      <c r="A20" s="28" t="s">
        <v>21</v>
      </c>
      <c r="B20" s="29">
        <f>COUNTIFS('FY26-FY27 DRA-CSR'!$L$5:$L$88,"High School",'FY26-FY27 DRA-CSR'!$B$5:$B$88,"&lt;&gt;Fort Myers Beach")</f>
        <v>15</v>
      </c>
      <c r="C20" s="30">
        <f>SUMIFS('FY26-FY27 DRA-CSR'!$D$5:$D$88,'FY26-FY27 DRA-CSR'!$L$5:$L$88,"High School",'FY26-FY27 DRA-CSR'!$B$5:$B$88,"&lt;&gt;Fort Myers Beach")</f>
        <v>161064428.14999998</v>
      </c>
      <c r="D20" s="30">
        <f>SUMIFS('FY26-FY27 DRA-CSR'!$E$5:$E$88,'FY26-FY27 DRA-CSR'!$L$5:$L$88,"High School",'FY26-FY27 DRA-CSR'!$B$5:$B$88,"&lt;&gt;Fort Myers Beach")</f>
        <v>154970687.40000001</v>
      </c>
      <c r="E20" s="30">
        <f>SUMIFS('FY26-FY27 DRA-CSR'!$F$5:$F$88,'FY26-FY27 DRA-CSR'!$L$5:$L$88,"High School",'FY26-FY27 DRA-CSR'!$B$5:$B$88,"&lt;&gt;Fort Myers Beach")</f>
        <v>1861728</v>
      </c>
      <c r="F20" s="30">
        <f>SUMIFS('FY26-FY27 DRA-CSR'!$G$5:$G$88,'FY26-FY27 DRA-CSR'!$L$5:$L$88,"High School",'FY26-FY27 DRA-CSR'!$B$5:$B$88,"&lt;&gt;Fort Myers Beach")</f>
        <v>-4232012.7500000047</v>
      </c>
      <c r="G20" s="30">
        <f>SUMIFS('FY26-FY27 DRA-CSR'!$H$5:$H$88,'FY26-FY27 DRA-CSR'!$L$5:$L$88,"High School",'FY26-FY27 DRA-CSR'!$B$5:$B$88,"&lt;&gt;Fort Myers Beach")</f>
        <v>-6093740.7500000047</v>
      </c>
      <c r="H20" s="31">
        <f>IFERROR(F20/C20,"n/a")</f>
        <v>-2.6275278772658065E-2</v>
      </c>
      <c r="I20" s="31">
        <f>IFERROR(G20/C20,"n/a")</f>
        <v>-3.7834181141008234E-2</v>
      </c>
      <c r="J20" s="32">
        <v>-1.81408824490033E-2</v>
      </c>
    </row>
    <row r="21" spans="1:10" x14ac:dyDescent="0.2">
      <c r="A21" s="28" t="s">
        <v>18</v>
      </c>
      <c r="B21" s="29">
        <f>COUNTIFS('FY26-FY27 DRA-CSR'!$L$5:$L$88,"K-8",'FY26-FY27 DRA-CSR'!$B$5:$B$88,"&lt;&gt;Fort Myers Beach")</f>
        <v>7</v>
      </c>
      <c r="C21" s="30">
        <f>SUMIFS('FY26-FY27 DRA-CSR'!$D$5:$D$88,'FY26-FY27 DRA-CSR'!$L$5:$L$88,"K-8",'FY26-FY27 DRA-CSR'!$B$5:$B$88,"&lt;&gt;Fort Myers Beach")</f>
        <v>53027860</v>
      </c>
      <c r="D21" s="30">
        <f>SUMIFS('FY26-FY27 DRA-CSR'!$E$5:$E$88,'FY26-FY27 DRA-CSR'!$L$5:$L$88,"K-8",'FY26-FY27 DRA-CSR'!$B$5:$B$88,"&lt;&gt;Fort Myers Beach")</f>
        <v>53832461</v>
      </c>
      <c r="E21" s="30">
        <f>SUMIFS('FY26-FY27 DRA-CSR'!$F$5:$F$88,'FY26-FY27 DRA-CSR'!$L$5:$L$88,"K-8",'FY26-FY27 DRA-CSR'!$B$5:$B$88,"&lt;&gt;Fort Myers Beach")</f>
        <v>1042170</v>
      </c>
      <c r="F21" s="30">
        <f>SUMIFS('FY26-FY27 DRA-CSR'!$G$5:$G$88,'FY26-FY27 DRA-CSR'!$L$5:$L$88,"K-8",'FY26-FY27 DRA-CSR'!$B$5:$B$88,"&lt;&gt;Fort Myers Beach")</f>
        <v>1846771</v>
      </c>
      <c r="G21" s="30">
        <f>SUMIFS('FY26-FY27 DRA-CSR'!$H$5:$H$88,'FY26-FY27 DRA-CSR'!$L$5:$L$88,"K-8",'FY26-FY27 DRA-CSR'!$B$5:$B$88,"&lt;&gt;Fort Myers Beach")</f>
        <v>804601</v>
      </c>
      <c r="H21" s="31">
        <f>IFERROR(F21/C21,"n/a")</f>
        <v>3.4826428975259421E-2</v>
      </c>
      <c r="I21" s="31">
        <f>IFERROR(G21/C21,"n/a")</f>
        <v>1.5173175006496585E-2</v>
      </c>
      <c r="J21" s="32">
        <v>-4.4120239454301498E-2</v>
      </c>
    </row>
    <row r="22" spans="1:10" x14ac:dyDescent="0.2">
      <c r="A22" s="28" t="s">
        <v>59</v>
      </c>
      <c r="B22" s="29">
        <f>COUNTIFS('FY26-FY27 DRA-CSR'!$L$5:$L$88,"Special Center",'FY26-FY27 DRA-CSR'!$B$5:$B$88,"&lt;&gt;Fort Myers Beach")</f>
        <v>1</v>
      </c>
      <c r="C22" s="30">
        <f>SUMIFS('FY26-FY27 DRA-CSR'!$D$5:$D$88,'FY26-FY27 DRA-CSR'!$L$5:$L$88,"Special Center",'FY26-FY27 DRA-CSR'!$B$5:$B$88,"&lt;&gt;Fort Myers Beach")</f>
        <v>4978090</v>
      </c>
      <c r="D22" s="30">
        <f>SUMIFS('FY26-FY27 DRA-CSR'!$E$5:$E$88,'FY26-FY27 DRA-CSR'!$L$5:$L$88,"Special Center",'FY26-FY27 DRA-CSR'!$B$5:$B$88,"&lt;&gt;Fort Myers Beach")</f>
        <v>3763606</v>
      </c>
      <c r="E22" s="30">
        <f>SUMIFS('FY26-FY27 DRA-CSR'!$F$5:$F$88,'FY26-FY27 DRA-CSR'!$L$5:$L$88,"Special Center",'FY26-FY27 DRA-CSR'!$B$5:$B$88,"&lt;&gt;Fort Myers Beach")</f>
        <v>13839</v>
      </c>
      <c r="F22" s="30">
        <f>SUMIFS('FY26-FY27 DRA-CSR'!$G$5:$G$88,'FY26-FY27 DRA-CSR'!$L$5:$L$88,"Special Center",'FY26-FY27 DRA-CSR'!$B$5:$B$88,"&lt;&gt;Fort Myers Beach")</f>
        <v>-1200645</v>
      </c>
      <c r="G22" s="30">
        <f>SUMIFS('FY26-FY27 DRA-CSR'!$H$5:$H$88,'FY26-FY27 DRA-CSR'!$L$5:$L$88,"Special Center",'FY26-FY27 DRA-CSR'!$B$5:$B$88,"&lt;&gt;Fort Myers Beach")</f>
        <v>-1214484</v>
      </c>
      <c r="H22" s="31">
        <f>IFERROR(F22/C22,"n/a")</f>
        <v>-0.24118587651087064</v>
      </c>
      <c r="I22" s="31">
        <f>IFERROR(G22/C22,"n/a")</f>
        <v>-0.24396585839147142</v>
      </c>
      <c r="J22" s="32">
        <v>-0.243965858391471</v>
      </c>
    </row>
    <row r="23" spans="1:10" x14ac:dyDescent="0.2">
      <c r="A23" s="33" t="s">
        <v>146</v>
      </c>
      <c r="B23" s="34">
        <f t="shared" ref="B23:G23" si="1">SUM(B18:B22)</f>
        <v>83</v>
      </c>
      <c r="C23" s="35">
        <f t="shared" si="1"/>
        <v>623774727.75</v>
      </c>
      <c r="D23" s="35">
        <f t="shared" si="1"/>
        <v>593078563.59000003</v>
      </c>
      <c r="E23" s="35">
        <f t="shared" si="1"/>
        <v>6196208</v>
      </c>
      <c r="F23" s="35">
        <f t="shared" si="1"/>
        <v>-24499956.16</v>
      </c>
      <c r="G23" s="35">
        <f t="shared" si="1"/>
        <v>-30696164.16</v>
      </c>
      <c r="H23" s="36">
        <f>F23/C23</f>
        <v>-3.9276929747335376E-2</v>
      </c>
      <c r="I23" s="36">
        <f>G23/C23</f>
        <v>-4.9210336351271006E-2</v>
      </c>
      <c r="J23" s="37"/>
    </row>
    <row r="26" spans="1:10" x14ac:dyDescent="0.2">
      <c r="A26" s="26" t="s">
        <v>149</v>
      </c>
    </row>
    <row r="27" spans="1:10" x14ac:dyDescent="0.2">
      <c r="A27" s="25" t="s">
        <v>150</v>
      </c>
    </row>
    <row r="28" spans="1:10" ht="42" customHeight="1" x14ac:dyDescent="0.2">
      <c r="A28" s="27" t="s">
        <v>137</v>
      </c>
      <c r="B28" s="27" t="s">
        <v>138</v>
      </c>
      <c r="C28" s="27" t="s">
        <v>139</v>
      </c>
      <c r="D28" s="27" t="s">
        <v>140</v>
      </c>
      <c r="E28" s="27" t="s">
        <v>7</v>
      </c>
      <c r="F28" s="27" t="s">
        <v>141</v>
      </c>
      <c r="G28" s="27" t="s">
        <v>142</v>
      </c>
      <c r="H28" s="27" t="s">
        <v>143</v>
      </c>
      <c r="I28" s="27" t="s">
        <v>144</v>
      </c>
      <c r="J28" s="27" t="s">
        <v>145</v>
      </c>
    </row>
    <row r="29" spans="1:10" x14ac:dyDescent="0.2">
      <c r="A29" s="28" t="s">
        <v>15</v>
      </c>
      <c r="B29" s="29">
        <f>COUNTIFS('FY26-FY27 DRA-CSR'!$L$5:$L$88,"Elementary",'FY26-FY27 DRA-CSR'!$B$5:$B$88,"&lt;&gt;Fort Myers Beach",'FY26-FY27 DRA-CSR'!$B$5:$B$88,"&lt;&gt;Green Meadow")</f>
        <v>42</v>
      </c>
      <c r="C29" s="30">
        <f>SUMIFS('FY26-FY27 DRA-CSR'!$D$5:$D$88,'FY26-FY27 DRA-CSR'!$L$5:$L$88,"Elementary",'FY26-FY27 DRA-CSR'!$B$5:$B$88,"&lt;&gt;Fort Myers Beach",'FY26-FY27 DRA-CSR'!$B$5:$B$88,"&lt;&gt;Green Meadow")</f>
        <v>286400906</v>
      </c>
      <c r="D29" s="30">
        <f>SUMIFS('FY26-FY27 DRA-CSR'!$E$5:$E$88,'FY26-FY27 DRA-CSR'!$L$5:$L$88,"Elementary",'FY26-FY27 DRA-CSR'!$B$5:$B$88,"&lt;&gt;Fort Myers Beach",'FY26-FY27 DRA-CSR'!$B$5:$B$88,"&lt;&gt;Green Meadow")</f>
        <v>267970193</v>
      </c>
      <c r="E29" s="30">
        <f>SUMIFS('FY26-FY27 DRA-CSR'!$F$5:$F$88,'FY26-FY27 DRA-CSR'!$L$5:$L$88,"Elementary",'FY26-FY27 DRA-CSR'!$B$5:$B$88,"&lt;&gt;Fort Myers Beach",'FY26-FY27 DRA-CSR'!$B$5:$B$88,"&lt;&gt;Green Meadow")</f>
        <v>2715822</v>
      </c>
      <c r="F29" s="30">
        <f>SUMIFS('FY26-FY27 DRA-CSR'!$G$5:$G$88,'FY26-FY27 DRA-CSR'!$L$5:$L$88,"Elementary",'FY26-FY27 DRA-CSR'!$B$5:$B$88,"&lt;&gt;Fort Myers Beach",'FY26-FY27 DRA-CSR'!$B$5:$B$88,"&lt;&gt;Green Meadow")</f>
        <v>-15714891</v>
      </c>
      <c r="G29" s="30">
        <f>SUMIFS('FY26-FY27 DRA-CSR'!$H$5:$H$88,'FY26-FY27 DRA-CSR'!$L$5:$L$88,"Elementary",'FY26-FY27 DRA-CSR'!$B$5:$B$88,"&lt;&gt;Fort Myers Beach",'FY26-FY27 DRA-CSR'!$B$5:$B$88,"&lt;&gt;Green Meadow")</f>
        <v>-18430713</v>
      </c>
      <c r="H29" s="31">
        <f>IFERROR(F29/C29,"n/a")</f>
        <v>-5.4870255892277099E-2</v>
      </c>
      <c r="I29" s="31">
        <f>IFERROR(G29/C29,"n/a")</f>
        <v>-6.4352844610065588E-2</v>
      </c>
      <c r="J29" s="32">
        <v>-6.2682070853301505E-2</v>
      </c>
    </row>
    <row r="30" spans="1:10" x14ac:dyDescent="0.2">
      <c r="A30" s="28" t="s">
        <v>23</v>
      </c>
      <c r="B30" s="29">
        <f>COUNTIFS('FY26-FY27 DRA-CSR'!$L$5:$L$88,"Middle School",'FY26-FY27 DRA-CSR'!$B$5:$B$88,"&lt;&gt;Fort Myers Beach",'FY26-FY27 DRA-CSR'!$B$5:$B$88,"&lt;&gt;Green Meadow")</f>
        <v>17</v>
      </c>
      <c r="C30" s="30">
        <f>SUMIFS('FY26-FY27 DRA-CSR'!$D$5:$D$88,'FY26-FY27 DRA-CSR'!$L$5:$L$88,"Middle School",'FY26-FY27 DRA-CSR'!$B$5:$B$88,"&lt;&gt;Fort Myers Beach",'FY26-FY27 DRA-CSR'!$B$5:$B$88,"&lt;&gt;Green Meadow")</f>
        <v>118303443.60000002</v>
      </c>
      <c r="D30" s="30">
        <f>SUMIFS('FY26-FY27 DRA-CSR'!$E$5:$E$88,'FY26-FY27 DRA-CSR'!$L$5:$L$88,"Middle School",'FY26-FY27 DRA-CSR'!$B$5:$B$88,"&lt;&gt;Fort Myers Beach",'FY26-FY27 DRA-CSR'!$B$5:$B$88,"&lt;&gt;Green Meadow")</f>
        <v>110914302.19</v>
      </c>
      <c r="E30" s="30">
        <f>SUMIFS('FY26-FY27 DRA-CSR'!$F$5:$F$88,'FY26-FY27 DRA-CSR'!$L$5:$L$88,"Middle School",'FY26-FY27 DRA-CSR'!$B$5:$B$88,"&lt;&gt;Fort Myers Beach",'FY26-FY27 DRA-CSR'!$B$5:$B$88,"&lt;&gt;Green Meadow")</f>
        <v>492032</v>
      </c>
      <c r="F30" s="30">
        <f>SUMIFS('FY26-FY27 DRA-CSR'!$G$5:$G$88,'FY26-FY27 DRA-CSR'!$L$5:$L$88,"Middle School",'FY26-FY27 DRA-CSR'!$B$5:$B$88,"&lt;&gt;Fort Myers Beach",'FY26-FY27 DRA-CSR'!$B$5:$B$88,"&lt;&gt;Green Meadow")</f>
        <v>-6897109.4099999974</v>
      </c>
      <c r="G30" s="30">
        <f>SUMIFS('FY26-FY27 DRA-CSR'!$H$5:$H$88,'FY26-FY27 DRA-CSR'!$L$5:$L$88,"Middle School",'FY26-FY27 DRA-CSR'!$B$5:$B$88,"&lt;&gt;Fort Myers Beach",'FY26-FY27 DRA-CSR'!$B$5:$B$88,"&lt;&gt;Green Meadow")</f>
        <v>-7389141.4099999974</v>
      </c>
      <c r="H30" s="31">
        <f>IFERROR(F30/C30,"n/a")</f>
        <v>-5.8300157629561984E-2</v>
      </c>
      <c r="I30" s="31">
        <f>IFERROR(G30/C30,"n/a")</f>
        <v>-6.2459225066885504E-2</v>
      </c>
      <c r="J30" s="32">
        <v>-6.1088910299093399E-2</v>
      </c>
    </row>
    <row r="31" spans="1:10" x14ac:dyDescent="0.2">
      <c r="A31" s="28" t="s">
        <v>21</v>
      </c>
      <c r="B31" s="29">
        <f>COUNTIFS('FY26-FY27 DRA-CSR'!$L$5:$L$88,"High School",'FY26-FY27 DRA-CSR'!$B$5:$B$88,"&lt;&gt;Fort Myers Beach",'FY26-FY27 DRA-CSR'!$B$5:$B$88,"&lt;&gt;Green Meadow")</f>
        <v>15</v>
      </c>
      <c r="C31" s="30">
        <f>SUMIFS('FY26-FY27 DRA-CSR'!$D$5:$D$88,'FY26-FY27 DRA-CSR'!$L$5:$L$88,"High School",'FY26-FY27 DRA-CSR'!$B$5:$B$88,"&lt;&gt;Fort Myers Beach",'FY26-FY27 DRA-CSR'!$B$5:$B$88,"&lt;&gt;Green Meadow")</f>
        <v>161064428.14999998</v>
      </c>
      <c r="D31" s="30">
        <f>SUMIFS('FY26-FY27 DRA-CSR'!$E$5:$E$88,'FY26-FY27 DRA-CSR'!$L$5:$L$88,"High School",'FY26-FY27 DRA-CSR'!$B$5:$B$88,"&lt;&gt;Fort Myers Beach",'FY26-FY27 DRA-CSR'!$B$5:$B$88,"&lt;&gt;Green Meadow")</f>
        <v>154970687.40000001</v>
      </c>
      <c r="E31" s="30">
        <f>SUMIFS('FY26-FY27 DRA-CSR'!$F$5:$F$88,'FY26-FY27 DRA-CSR'!$L$5:$L$88,"High School",'FY26-FY27 DRA-CSR'!$B$5:$B$88,"&lt;&gt;Fort Myers Beach",'FY26-FY27 DRA-CSR'!$B$5:$B$88,"&lt;&gt;Green Meadow")</f>
        <v>1861728</v>
      </c>
      <c r="F31" s="30">
        <f>SUMIFS('FY26-FY27 DRA-CSR'!$G$5:$G$88,'FY26-FY27 DRA-CSR'!$L$5:$L$88,"High School",'FY26-FY27 DRA-CSR'!$B$5:$B$88,"&lt;&gt;Fort Myers Beach",'FY26-FY27 DRA-CSR'!$B$5:$B$88,"&lt;&gt;Green Meadow")</f>
        <v>-4232012.7500000047</v>
      </c>
      <c r="G31" s="30">
        <f>SUMIFS('FY26-FY27 DRA-CSR'!$H$5:$H$88,'FY26-FY27 DRA-CSR'!$L$5:$L$88,"High School",'FY26-FY27 DRA-CSR'!$B$5:$B$88,"&lt;&gt;Fort Myers Beach",'FY26-FY27 DRA-CSR'!$B$5:$B$88,"&lt;&gt;Green Meadow")</f>
        <v>-6093740.7500000047</v>
      </c>
      <c r="H31" s="31">
        <f>IFERROR(F31/C31,"n/a")</f>
        <v>-2.6275278772658065E-2</v>
      </c>
      <c r="I31" s="31">
        <f>IFERROR(G31/C31,"n/a")</f>
        <v>-3.7834181141008234E-2</v>
      </c>
      <c r="J31" s="32">
        <v>-1.81408824490033E-2</v>
      </c>
    </row>
    <row r="32" spans="1:10" x14ac:dyDescent="0.2">
      <c r="A32" s="28" t="s">
        <v>18</v>
      </c>
      <c r="B32" s="29">
        <f>COUNTIFS('FY26-FY27 DRA-CSR'!$L$5:$L$88,"K-8",'FY26-FY27 DRA-CSR'!$B$5:$B$88,"&lt;&gt;Fort Myers Beach",'FY26-FY27 DRA-CSR'!$B$5:$B$88,"&lt;&gt;Green Meadow")</f>
        <v>7</v>
      </c>
      <c r="C32" s="30">
        <f>SUMIFS('FY26-FY27 DRA-CSR'!$D$5:$D$88,'FY26-FY27 DRA-CSR'!$L$5:$L$88,"K-8",'FY26-FY27 DRA-CSR'!$B$5:$B$88,"&lt;&gt;Fort Myers Beach",'FY26-FY27 DRA-CSR'!$B$5:$B$88,"&lt;&gt;Green Meadow")</f>
        <v>53027860</v>
      </c>
      <c r="D32" s="30">
        <f>SUMIFS('FY26-FY27 DRA-CSR'!$E$5:$E$88,'FY26-FY27 DRA-CSR'!$L$5:$L$88,"K-8",'FY26-FY27 DRA-CSR'!$B$5:$B$88,"&lt;&gt;Fort Myers Beach",'FY26-FY27 DRA-CSR'!$B$5:$B$88,"&lt;&gt;Green Meadow")</f>
        <v>53832461</v>
      </c>
      <c r="E32" s="30">
        <f>SUMIFS('FY26-FY27 DRA-CSR'!$F$5:$F$88,'FY26-FY27 DRA-CSR'!$L$5:$L$88,"K-8",'FY26-FY27 DRA-CSR'!$B$5:$B$88,"&lt;&gt;Fort Myers Beach",'FY26-FY27 DRA-CSR'!$B$5:$B$88,"&lt;&gt;Green Meadow")</f>
        <v>1042170</v>
      </c>
      <c r="F32" s="30">
        <f>SUMIFS('FY26-FY27 DRA-CSR'!$G$5:$G$88,'FY26-FY27 DRA-CSR'!$L$5:$L$88,"K-8",'FY26-FY27 DRA-CSR'!$B$5:$B$88,"&lt;&gt;Fort Myers Beach",'FY26-FY27 DRA-CSR'!$B$5:$B$88,"&lt;&gt;Green Meadow")</f>
        <v>1846771</v>
      </c>
      <c r="G32" s="30">
        <f>SUMIFS('FY26-FY27 DRA-CSR'!$H$5:$H$88,'FY26-FY27 DRA-CSR'!$L$5:$L$88,"K-8",'FY26-FY27 DRA-CSR'!$B$5:$B$88,"&lt;&gt;Fort Myers Beach",'FY26-FY27 DRA-CSR'!$B$5:$B$88,"&lt;&gt;Green Meadow")</f>
        <v>804601</v>
      </c>
      <c r="H32" s="31">
        <f>IFERROR(F32/C32,"n/a")</f>
        <v>3.4826428975259421E-2</v>
      </c>
      <c r="I32" s="31">
        <f>IFERROR(G32/C32,"n/a")</f>
        <v>1.5173175006496585E-2</v>
      </c>
      <c r="J32" s="32">
        <v>-4.4120239454301498E-2</v>
      </c>
    </row>
    <row r="33" spans="1:10" x14ac:dyDescent="0.2">
      <c r="A33" s="28" t="s">
        <v>59</v>
      </c>
      <c r="B33" s="29">
        <f>COUNTIFS('FY26-FY27 DRA-CSR'!$L$5:$L$88,"Special Center",'FY26-FY27 DRA-CSR'!$B$5:$B$88,"&lt;&gt;Fort Myers Beach",'FY26-FY27 DRA-CSR'!$B$5:$B$88,"&lt;&gt;Green Meadow")</f>
        <v>1</v>
      </c>
      <c r="C33" s="30">
        <f>SUMIFS('FY26-FY27 DRA-CSR'!$D$5:$D$88,'FY26-FY27 DRA-CSR'!$L$5:$L$88,"Special Center",'FY26-FY27 DRA-CSR'!$B$5:$B$88,"&lt;&gt;Fort Myers Beach",'FY26-FY27 DRA-CSR'!$B$5:$B$88,"&lt;&gt;Green Meadow")</f>
        <v>4978090</v>
      </c>
      <c r="D33" s="30">
        <f>SUMIFS('FY26-FY27 DRA-CSR'!$E$5:$E$88,'FY26-FY27 DRA-CSR'!$L$5:$L$88,"Special Center",'FY26-FY27 DRA-CSR'!$B$5:$B$88,"&lt;&gt;Fort Myers Beach",'FY26-FY27 DRA-CSR'!$B$5:$B$88,"&lt;&gt;Green Meadow")</f>
        <v>3763606</v>
      </c>
      <c r="E33" s="30">
        <f>SUMIFS('FY26-FY27 DRA-CSR'!$F$5:$F$88,'FY26-FY27 DRA-CSR'!$L$5:$L$88,"Special Center",'FY26-FY27 DRA-CSR'!$B$5:$B$88,"&lt;&gt;Fort Myers Beach",'FY26-FY27 DRA-CSR'!$B$5:$B$88,"&lt;&gt;Green Meadow")</f>
        <v>13839</v>
      </c>
      <c r="F33" s="30">
        <f>SUMIFS('FY26-FY27 DRA-CSR'!$G$5:$G$88,'FY26-FY27 DRA-CSR'!$L$5:$L$88,"Special Center",'FY26-FY27 DRA-CSR'!$B$5:$B$88,"&lt;&gt;Fort Myers Beach",'FY26-FY27 DRA-CSR'!$B$5:$B$88,"&lt;&gt;Green Meadow")</f>
        <v>-1200645</v>
      </c>
      <c r="G33" s="30">
        <f>SUMIFS('FY26-FY27 DRA-CSR'!$H$5:$H$88,'FY26-FY27 DRA-CSR'!$L$5:$L$88,"Special Center",'FY26-FY27 DRA-CSR'!$B$5:$B$88,"&lt;&gt;Fort Myers Beach",'FY26-FY27 DRA-CSR'!$B$5:$B$88,"&lt;&gt;Green Meadow")</f>
        <v>-1214484</v>
      </c>
      <c r="H33" s="31">
        <f>IFERROR(F33/C33,"n/a")</f>
        <v>-0.24118587651087064</v>
      </c>
      <c r="I33" s="31">
        <f>IFERROR(G33/C33,"n/a")</f>
        <v>-0.24396585839147142</v>
      </c>
      <c r="J33" s="32">
        <v>-0.243965858391471</v>
      </c>
    </row>
    <row r="34" spans="1:10" x14ac:dyDescent="0.2">
      <c r="A34" s="33" t="s">
        <v>146</v>
      </c>
      <c r="B34" s="34">
        <f t="shared" ref="B34:G34" si="2">SUM(B29:B33)</f>
        <v>82</v>
      </c>
      <c r="C34" s="35">
        <f t="shared" si="2"/>
        <v>623774727.75</v>
      </c>
      <c r="D34" s="35">
        <f t="shared" si="2"/>
        <v>591451249.59000003</v>
      </c>
      <c r="E34" s="35">
        <f t="shared" si="2"/>
        <v>6125591</v>
      </c>
      <c r="F34" s="35">
        <f t="shared" si="2"/>
        <v>-26197887.16</v>
      </c>
      <c r="G34" s="35">
        <f t="shared" si="2"/>
        <v>-32323478.16</v>
      </c>
      <c r="H34" s="36">
        <f>F34/C34</f>
        <v>-4.1998955703924798E-2</v>
      </c>
      <c r="I34" s="36">
        <f>G34/C34</f>
        <v>-5.1819153168633642E-2</v>
      </c>
      <c r="J34" s="37"/>
    </row>
    <row r="37" spans="1:10" x14ac:dyDescent="0.2">
      <c r="A37" s="26" t="s">
        <v>151</v>
      </c>
    </row>
    <row r="38" spans="1:10" x14ac:dyDescent="0.2">
      <c r="A38" s="25" t="s">
        <v>152</v>
      </c>
    </row>
    <row r="39" spans="1:10" ht="42" customHeight="1" x14ac:dyDescent="0.2">
      <c r="A39" s="27" t="s">
        <v>137</v>
      </c>
      <c r="B39" s="27" t="s">
        <v>138</v>
      </c>
      <c r="C39" s="27" t="s">
        <v>139</v>
      </c>
      <c r="D39" s="27" t="s">
        <v>140</v>
      </c>
      <c r="E39" s="27" t="s">
        <v>7</v>
      </c>
      <c r="F39" s="27" t="s">
        <v>141</v>
      </c>
      <c r="G39" s="27" t="s">
        <v>142</v>
      </c>
      <c r="H39" s="27" t="s">
        <v>143</v>
      </c>
      <c r="I39" s="27" t="s">
        <v>144</v>
      </c>
      <c r="J39" s="27" t="s">
        <v>145</v>
      </c>
    </row>
    <row r="40" spans="1:10" x14ac:dyDescent="0.2">
      <c r="A40" s="28" t="s">
        <v>15</v>
      </c>
      <c r="B40" s="29">
        <f>COUNTIFS('FY26-FY27 DRA-CSR'!$L$5:$L$88,"Elementary",'FY26-FY27 DRA-CSR'!$B$5:$B$88,"&lt;&gt;Fort Myers Beach",'FY26-FY27 DRA-CSR'!$B$5:$B$88,"&lt;&gt;Green Meadow",'FY26-FY27 DRA-CSR'!$B$5:$B$88,"&lt;&gt;Hector Cafferata")</f>
        <v>42</v>
      </c>
      <c r="C40" s="30">
        <f>SUMIFS('FY26-FY27 DRA-CSR'!$D$5:$D$88,'FY26-FY27 DRA-CSR'!$L$5:$L$88,"Elementary",'FY26-FY27 DRA-CSR'!$B$5:$B$88,"&lt;&gt;Fort Myers Beach",'FY26-FY27 DRA-CSR'!$B$5:$B$88,"&lt;&gt;Green Meadow",'FY26-FY27 DRA-CSR'!$B$5:$B$88,"&lt;&gt;Hector Cafferata")</f>
        <v>286400906</v>
      </c>
      <c r="D40" s="30">
        <f>SUMIFS('FY26-FY27 DRA-CSR'!$E$5:$E$88,'FY26-FY27 DRA-CSR'!$L$5:$L$88,"Elementary",'FY26-FY27 DRA-CSR'!$B$5:$B$88,"&lt;&gt;Fort Myers Beach",'FY26-FY27 DRA-CSR'!$B$5:$B$88,"&lt;&gt;Green Meadow",'FY26-FY27 DRA-CSR'!$B$5:$B$88,"&lt;&gt;Hector Cafferata")</f>
        <v>267970193</v>
      </c>
      <c r="E40" s="30">
        <f>SUMIFS('FY26-FY27 DRA-CSR'!$F$5:$F$88,'FY26-FY27 DRA-CSR'!$L$5:$L$88,"Elementary",'FY26-FY27 DRA-CSR'!$B$5:$B$88,"&lt;&gt;Fort Myers Beach",'FY26-FY27 DRA-CSR'!$B$5:$B$88,"&lt;&gt;Green Meadow",'FY26-FY27 DRA-CSR'!$B$5:$B$88,"&lt;&gt;Hector Cafferata")</f>
        <v>2715822</v>
      </c>
      <c r="F40" s="30">
        <f>SUMIFS('FY26-FY27 DRA-CSR'!$G$5:$G$88,'FY26-FY27 DRA-CSR'!$L$5:$L$88,"Elementary",'FY26-FY27 DRA-CSR'!$B$5:$B$88,"&lt;&gt;Fort Myers Beach",'FY26-FY27 DRA-CSR'!$B$5:$B$88,"&lt;&gt;Green Meadow",'FY26-FY27 DRA-CSR'!$B$5:$B$88,"&lt;&gt;Hector Cafferata")</f>
        <v>-15714891</v>
      </c>
      <c r="G40" s="30">
        <f>SUMIFS('FY26-FY27 DRA-CSR'!$H$5:$H$88,'FY26-FY27 DRA-CSR'!$L$5:$L$88,"Elementary",'FY26-FY27 DRA-CSR'!$B$5:$B$88,"&lt;&gt;Fort Myers Beach",'FY26-FY27 DRA-CSR'!$B$5:$B$88,"&lt;&gt;Green Meadow",'FY26-FY27 DRA-CSR'!$B$5:$B$88,"&lt;&gt;Hector Cafferata")</f>
        <v>-18430713</v>
      </c>
      <c r="H40" s="31">
        <f>IFERROR(F40/C40,"n/a")</f>
        <v>-5.4870255892277099E-2</v>
      </c>
      <c r="I40" s="31">
        <f>IFERROR(G40/C40,"n/a")</f>
        <v>-6.4352844610065588E-2</v>
      </c>
      <c r="J40" s="32">
        <v>-6.2682070853301505E-2</v>
      </c>
    </row>
    <row r="41" spans="1:10" x14ac:dyDescent="0.2">
      <c r="A41" s="28" t="s">
        <v>23</v>
      </c>
      <c r="B41" s="29">
        <f>COUNTIFS('FY26-FY27 DRA-CSR'!$L$5:$L$88,"Middle School",'FY26-FY27 DRA-CSR'!$B$5:$B$88,"&lt;&gt;Fort Myers Beach",'FY26-FY27 DRA-CSR'!$B$5:$B$88,"&lt;&gt;Green Meadow",'FY26-FY27 DRA-CSR'!$B$5:$B$88,"&lt;&gt;Hector Cafferata")</f>
        <v>17</v>
      </c>
      <c r="C41" s="30">
        <f>SUMIFS('FY26-FY27 DRA-CSR'!$D$5:$D$88,'FY26-FY27 DRA-CSR'!$L$5:$L$88,"Middle School",'FY26-FY27 DRA-CSR'!$B$5:$B$88,"&lt;&gt;Fort Myers Beach",'FY26-FY27 DRA-CSR'!$B$5:$B$88,"&lt;&gt;Green Meadow",'FY26-FY27 DRA-CSR'!$B$5:$B$88,"&lt;&gt;Hector Cafferata")</f>
        <v>118303443.60000002</v>
      </c>
      <c r="D41" s="30">
        <f>SUMIFS('FY26-FY27 DRA-CSR'!$E$5:$E$88,'FY26-FY27 DRA-CSR'!$L$5:$L$88,"Middle School",'FY26-FY27 DRA-CSR'!$B$5:$B$88,"&lt;&gt;Fort Myers Beach",'FY26-FY27 DRA-CSR'!$B$5:$B$88,"&lt;&gt;Green Meadow",'FY26-FY27 DRA-CSR'!$B$5:$B$88,"&lt;&gt;Hector Cafferata")</f>
        <v>110914302.19</v>
      </c>
      <c r="E41" s="30">
        <f>SUMIFS('FY26-FY27 DRA-CSR'!$F$5:$F$88,'FY26-FY27 DRA-CSR'!$L$5:$L$88,"Middle School",'FY26-FY27 DRA-CSR'!$B$5:$B$88,"&lt;&gt;Fort Myers Beach",'FY26-FY27 DRA-CSR'!$B$5:$B$88,"&lt;&gt;Green Meadow",'FY26-FY27 DRA-CSR'!$B$5:$B$88,"&lt;&gt;Hector Cafferata")</f>
        <v>492032</v>
      </c>
      <c r="F41" s="30">
        <f>SUMIFS('FY26-FY27 DRA-CSR'!$G$5:$G$88,'FY26-FY27 DRA-CSR'!$L$5:$L$88,"Middle School",'FY26-FY27 DRA-CSR'!$B$5:$B$88,"&lt;&gt;Fort Myers Beach",'FY26-FY27 DRA-CSR'!$B$5:$B$88,"&lt;&gt;Green Meadow",'FY26-FY27 DRA-CSR'!$B$5:$B$88,"&lt;&gt;Hector Cafferata")</f>
        <v>-6897109.4099999974</v>
      </c>
      <c r="G41" s="30">
        <f>SUMIFS('FY26-FY27 DRA-CSR'!$H$5:$H$88,'FY26-FY27 DRA-CSR'!$L$5:$L$88,"Middle School",'FY26-FY27 DRA-CSR'!$B$5:$B$88,"&lt;&gt;Fort Myers Beach",'FY26-FY27 DRA-CSR'!$B$5:$B$88,"&lt;&gt;Green Meadow",'FY26-FY27 DRA-CSR'!$B$5:$B$88,"&lt;&gt;Hector Cafferata")</f>
        <v>-7389141.4099999974</v>
      </c>
      <c r="H41" s="31">
        <f>IFERROR(F41/C41,"n/a")</f>
        <v>-5.8300157629561984E-2</v>
      </c>
      <c r="I41" s="31">
        <f>IFERROR(G41/C41,"n/a")</f>
        <v>-6.2459225066885504E-2</v>
      </c>
      <c r="J41" s="32">
        <v>-6.1088910299093399E-2</v>
      </c>
    </row>
    <row r="42" spans="1:10" x14ac:dyDescent="0.2">
      <c r="A42" s="28" t="s">
        <v>21</v>
      </c>
      <c r="B42" s="29">
        <f>COUNTIFS('FY26-FY27 DRA-CSR'!$L$5:$L$88,"High School",'FY26-FY27 DRA-CSR'!$B$5:$B$88,"&lt;&gt;Fort Myers Beach",'FY26-FY27 DRA-CSR'!$B$5:$B$88,"&lt;&gt;Green Meadow",'FY26-FY27 DRA-CSR'!$B$5:$B$88,"&lt;&gt;Hector Cafferata")</f>
        <v>15</v>
      </c>
      <c r="C42" s="30">
        <f>SUMIFS('FY26-FY27 DRA-CSR'!$D$5:$D$88,'FY26-FY27 DRA-CSR'!$L$5:$L$88,"High School",'FY26-FY27 DRA-CSR'!$B$5:$B$88,"&lt;&gt;Fort Myers Beach",'FY26-FY27 DRA-CSR'!$B$5:$B$88,"&lt;&gt;Green Meadow",'FY26-FY27 DRA-CSR'!$B$5:$B$88,"&lt;&gt;Hector Cafferata")</f>
        <v>161064428.14999998</v>
      </c>
      <c r="D42" s="30">
        <f>SUMIFS('FY26-FY27 DRA-CSR'!$E$5:$E$88,'FY26-FY27 DRA-CSR'!$L$5:$L$88,"High School",'FY26-FY27 DRA-CSR'!$B$5:$B$88,"&lt;&gt;Fort Myers Beach",'FY26-FY27 DRA-CSR'!$B$5:$B$88,"&lt;&gt;Green Meadow",'FY26-FY27 DRA-CSR'!$B$5:$B$88,"&lt;&gt;Hector Cafferata")</f>
        <v>154970687.40000001</v>
      </c>
      <c r="E42" s="30">
        <f>SUMIFS('FY26-FY27 DRA-CSR'!$F$5:$F$88,'FY26-FY27 DRA-CSR'!$L$5:$L$88,"High School",'FY26-FY27 DRA-CSR'!$B$5:$B$88,"&lt;&gt;Fort Myers Beach",'FY26-FY27 DRA-CSR'!$B$5:$B$88,"&lt;&gt;Green Meadow",'FY26-FY27 DRA-CSR'!$B$5:$B$88,"&lt;&gt;Hector Cafferata")</f>
        <v>1861728</v>
      </c>
      <c r="F42" s="30">
        <f>SUMIFS('FY26-FY27 DRA-CSR'!$G$5:$G$88,'FY26-FY27 DRA-CSR'!$L$5:$L$88,"High School",'FY26-FY27 DRA-CSR'!$B$5:$B$88,"&lt;&gt;Fort Myers Beach",'FY26-FY27 DRA-CSR'!$B$5:$B$88,"&lt;&gt;Green Meadow",'FY26-FY27 DRA-CSR'!$B$5:$B$88,"&lt;&gt;Hector Cafferata")</f>
        <v>-4232012.7500000047</v>
      </c>
      <c r="G42" s="30">
        <f>SUMIFS('FY26-FY27 DRA-CSR'!$H$5:$H$88,'FY26-FY27 DRA-CSR'!$L$5:$L$88,"High School",'FY26-FY27 DRA-CSR'!$B$5:$B$88,"&lt;&gt;Fort Myers Beach",'FY26-FY27 DRA-CSR'!$B$5:$B$88,"&lt;&gt;Green Meadow",'FY26-FY27 DRA-CSR'!$B$5:$B$88,"&lt;&gt;Hector Cafferata")</f>
        <v>-6093740.7500000047</v>
      </c>
      <c r="H42" s="31">
        <f>IFERROR(F42/C42,"n/a")</f>
        <v>-2.6275278772658065E-2</v>
      </c>
      <c r="I42" s="31">
        <f>IFERROR(G42/C42,"n/a")</f>
        <v>-3.7834181141008234E-2</v>
      </c>
      <c r="J42" s="32">
        <v>-1.81408824490033E-2</v>
      </c>
    </row>
    <row r="43" spans="1:10" x14ac:dyDescent="0.2">
      <c r="A43" s="28" t="s">
        <v>18</v>
      </c>
      <c r="B43" s="29">
        <f>COUNTIFS('FY26-FY27 DRA-CSR'!$L$5:$L$88,"K-8",'FY26-FY27 DRA-CSR'!$B$5:$B$88,"&lt;&gt;Fort Myers Beach",'FY26-FY27 DRA-CSR'!$B$5:$B$88,"&lt;&gt;Green Meadow",'FY26-FY27 DRA-CSR'!$B$5:$B$88,"&lt;&gt;Hector Cafferata")</f>
        <v>6</v>
      </c>
      <c r="C43" s="30">
        <f>SUMIFS('FY26-FY27 DRA-CSR'!$D$5:$D$88,'FY26-FY27 DRA-CSR'!$L$5:$L$88,"K-8",'FY26-FY27 DRA-CSR'!$B$5:$B$88,"&lt;&gt;Fort Myers Beach",'FY26-FY27 DRA-CSR'!$B$5:$B$88,"&lt;&gt;Green Meadow",'FY26-FY27 DRA-CSR'!$B$5:$B$88,"&lt;&gt;Hector Cafferata")</f>
        <v>47941684</v>
      </c>
      <c r="D43" s="30">
        <f>SUMIFS('FY26-FY27 DRA-CSR'!$E$5:$E$88,'FY26-FY27 DRA-CSR'!$L$5:$L$88,"K-8",'FY26-FY27 DRA-CSR'!$B$5:$B$88,"&lt;&gt;Fort Myers Beach",'FY26-FY27 DRA-CSR'!$B$5:$B$88,"&lt;&gt;Green Meadow",'FY26-FY27 DRA-CSR'!$B$5:$B$88,"&lt;&gt;Hector Cafferata")</f>
        <v>46488991</v>
      </c>
      <c r="E43" s="30">
        <f>SUMIFS('FY26-FY27 DRA-CSR'!$F$5:$F$88,'FY26-FY27 DRA-CSR'!$L$5:$L$88,"K-8",'FY26-FY27 DRA-CSR'!$B$5:$B$88,"&lt;&gt;Fort Myers Beach",'FY26-FY27 DRA-CSR'!$B$5:$B$88,"&lt;&gt;Green Meadow",'FY26-FY27 DRA-CSR'!$B$5:$B$88,"&lt;&gt;Hector Cafferata")</f>
        <v>897968</v>
      </c>
      <c r="F43" s="30">
        <f>SUMIFS('FY26-FY27 DRA-CSR'!$G$5:$G$88,'FY26-FY27 DRA-CSR'!$L$5:$L$88,"K-8",'FY26-FY27 DRA-CSR'!$B$5:$B$88,"&lt;&gt;Fort Myers Beach",'FY26-FY27 DRA-CSR'!$B$5:$B$88,"&lt;&gt;Green Meadow",'FY26-FY27 DRA-CSR'!$B$5:$B$88,"&lt;&gt;Hector Cafferata")</f>
        <v>-554725</v>
      </c>
      <c r="G43" s="30">
        <f>SUMIFS('FY26-FY27 DRA-CSR'!$H$5:$H$88,'FY26-FY27 DRA-CSR'!$L$5:$L$88,"K-8",'FY26-FY27 DRA-CSR'!$B$5:$B$88,"&lt;&gt;Fort Myers Beach",'FY26-FY27 DRA-CSR'!$B$5:$B$88,"&lt;&gt;Green Meadow",'FY26-FY27 DRA-CSR'!$B$5:$B$88,"&lt;&gt;Hector Cafferata")</f>
        <v>-1452693</v>
      </c>
      <c r="H43" s="31">
        <f>IFERROR(F43/C43,"n/a")</f>
        <v>-1.1570828425634777E-2</v>
      </c>
      <c r="I43" s="31">
        <f>IFERROR(G43/C43,"n/a")</f>
        <v>-3.0301250994854499E-2</v>
      </c>
      <c r="J43" s="32">
        <v>-4.5358486335609599E-2</v>
      </c>
    </row>
    <row r="44" spans="1:10" x14ac:dyDescent="0.2">
      <c r="A44" s="28" t="s">
        <v>59</v>
      </c>
      <c r="B44" s="29">
        <f>COUNTIFS('FY26-FY27 DRA-CSR'!$L$5:$L$88,"Special Center",'FY26-FY27 DRA-CSR'!$B$5:$B$88,"&lt;&gt;Fort Myers Beach",'FY26-FY27 DRA-CSR'!$B$5:$B$88,"&lt;&gt;Green Meadow",'FY26-FY27 DRA-CSR'!$B$5:$B$88,"&lt;&gt;Hector Cafferata")</f>
        <v>1</v>
      </c>
      <c r="C44" s="30">
        <f>SUMIFS('FY26-FY27 DRA-CSR'!$D$5:$D$88,'FY26-FY27 DRA-CSR'!$L$5:$L$88,"Special Center",'FY26-FY27 DRA-CSR'!$B$5:$B$88,"&lt;&gt;Fort Myers Beach",'FY26-FY27 DRA-CSR'!$B$5:$B$88,"&lt;&gt;Green Meadow",'FY26-FY27 DRA-CSR'!$B$5:$B$88,"&lt;&gt;Hector Cafferata")</f>
        <v>4978090</v>
      </c>
      <c r="D44" s="30">
        <f>SUMIFS('FY26-FY27 DRA-CSR'!$E$5:$E$88,'FY26-FY27 DRA-CSR'!$L$5:$L$88,"Special Center",'FY26-FY27 DRA-CSR'!$B$5:$B$88,"&lt;&gt;Fort Myers Beach",'FY26-FY27 DRA-CSR'!$B$5:$B$88,"&lt;&gt;Green Meadow",'FY26-FY27 DRA-CSR'!$B$5:$B$88,"&lt;&gt;Hector Cafferata")</f>
        <v>3763606</v>
      </c>
      <c r="E44" s="30">
        <f>SUMIFS('FY26-FY27 DRA-CSR'!$F$5:$F$88,'FY26-FY27 DRA-CSR'!$L$5:$L$88,"Special Center",'FY26-FY27 DRA-CSR'!$B$5:$B$88,"&lt;&gt;Fort Myers Beach",'FY26-FY27 DRA-CSR'!$B$5:$B$88,"&lt;&gt;Green Meadow",'FY26-FY27 DRA-CSR'!$B$5:$B$88,"&lt;&gt;Hector Cafferata")</f>
        <v>13839</v>
      </c>
      <c r="F44" s="30">
        <f>SUMIFS('FY26-FY27 DRA-CSR'!$G$5:$G$88,'FY26-FY27 DRA-CSR'!$L$5:$L$88,"Special Center",'FY26-FY27 DRA-CSR'!$B$5:$B$88,"&lt;&gt;Fort Myers Beach",'FY26-FY27 DRA-CSR'!$B$5:$B$88,"&lt;&gt;Green Meadow",'FY26-FY27 DRA-CSR'!$B$5:$B$88,"&lt;&gt;Hector Cafferata")</f>
        <v>-1200645</v>
      </c>
      <c r="G44" s="30">
        <f>SUMIFS('FY26-FY27 DRA-CSR'!$H$5:$H$88,'FY26-FY27 DRA-CSR'!$L$5:$L$88,"Special Center",'FY26-FY27 DRA-CSR'!$B$5:$B$88,"&lt;&gt;Fort Myers Beach",'FY26-FY27 DRA-CSR'!$B$5:$B$88,"&lt;&gt;Green Meadow",'FY26-FY27 DRA-CSR'!$B$5:$B$88,"&lt;&gt;Hector Cafferata")</f>
        <v>-1214484</v>
      </c>
      <c r="H44" s="31">
        <f>IFERROR(F44/C44,"n/a")</f>
        <v>-0.24118587651087064</v>
      </c>
      <c r="I44" s="31">
        <f>IFERROR(G44/C44,"n/a")</f>
        <v>-0.24396585839147142</v>
      </c>
      <c r="J44" s="32">
        <v>-0.243965858391471</v>
      </c>
    </row>
    <row r="45" spans="1:10" x14ac:dyDescent="0.2">
      <c r="A45" s="33" t="s">
        <v>146</v>
      </c>
      <c r="B45" s="34">
        <f t="shared" ref="B45:G45" si="3">SUM(B40:B44)</f>
        <v>81</v>
      </c>
      <c r="C45" s="35">
        <f t="shared" si="3"/>
        <v>618688551.75</v>
      </c>
      <c r="D45" s="35">
        <f t="shared" si="3"/>
        <v>584107779.59000003</v>
      </c>
      <c r="E45" s="35">
        <f t="shared" si="3"/>
        <v>5981389</v>
      </c>
      <c r="F45" s="35">
        <f t="shared" si="3"/>
        <v>-28599383.16</v>
      </c>
      <c r="G45" s="35">
        <f t="shared" si="3"/>
        <v>-34580772.159999996</v>
      </c>
      <c r="H45" s="36">
        <f>F45/C45</f>
        <v>-4.6225816008886575E-2</v>
      </c>
      <c r="I45" s="36">
        <f>G45/C45</f>
        <v>-5.5893667439273084E-2</v>
      </c>
      <c r="J45" s="37"/>
    </row>
    <row r="48" spans="1:10" x14ac:dyDescent="0.2">
      <c r="A48" s="26" t="s">
        <v>153</v>
      </c>
    </row>
    <row r="49" spans="1:3" x14ac:dyDescent="0.2">
      <c r="A49" s="38" t="s">
        <v>154</v>
      </c>
      <c r="C49" s="39">
        <f>I29</f>
        <v>-6.4352844610065588E-2</v>
      </c>
    </row>
    <row r="50" spans="1:3" x14ac:dyDescent="0.2">
      <c r="A50" s="38" t="s">
        <v>155</v>
      </c>
      <c r="C50" s="39">
        <f>I30</f>
        <v>-6.2459225066885504E-2</v>
      </c>
    </row>
    <row r="51" spans="1:3" x14ac:dyDescent="0.2">
      <c r="A51" s="38" t="s">
        <v>156</v>
      </c>
      <c r="C51" s="39">
        <f>I31</f>
        <v>-3.7834181141008234E-2</v>
      </c>
    </row>
    <row r="52" spans="1:3" x14ac:dyDescent="0.2">
      <c r="A52" s="38" t="s">
        <v>157</v>
      </c>
      <c r="C52" s="40">
        <f>(I29-I31)*100</f>
        <v>-2.6518663469057353</v>
      </c>
    </row>
    <row r="53" spans="1:3" x14ac:dyDescent="0.2">
      <c r="A53" s="38" t="s">
        <v>158</v>
      </c>
      <c r="C53" s="40">
        <f>(I30-I31)*100</f>
        <v>-2.4625043925877268</v>
      </c>
    </row>
    <row r="54" spans="1:3" x14ac:dyDescent="0.2">
      <c r="A54" s="38" t="s">
        <v>159</v>
      </c>
      <c r="C54" s="41">
        <f>I29/I31</f>
        <v>1.7009181293027626</v>
      </c>
    </row>
    <row r="55" spans="1:3" x14ac:dyDescent="0.2">
      <c r="A55" s="38" t="s">
        <v>160</v>
      </c>
      <c r="C55" s="41">
        <f>I30/I31</f>
        <v>1.6508676330035947</v>
      </c>
    </row>
    <row r="57" spans="1:3" x14ac:dyDescent="0.2">
      <c r="A57" s="42" t="s">
        <v>106</v>
      </c>
    </row>
    <row r="58" spans="1:3" x14ac:dyDescent="0.2">
      <c r="A58" s="25" t="s">
        <v>161</v>
      </c>
    </row>
    <row r="59" spans="1:3" x14ac:dyDescent="0.2">
      <c r="A59" s="25" t="s">
        <v>162</v>
      </c>
    </row>
    <row r="60" spans="1:3" x14ac:dyDescent="0.2">
      <c r="A60" s="25" t="s">
        <v>163</v>
      </c>
    </row>
    <row r="61" spans="1:3" x14ac:dyDescent="0.2">
      <c r="A61" s="25" t="s">
        <v>164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/>
  </sheetViews>
  <sheetFormatPr baseColWidth="10" defaultColWidth="8.6640625" defaultRowHeight="15" x14ac:dyDescent="0.2"/>
  <cols>
    <col min="1" max="1" width="8" customWidth="1"/>
    <col min="2" max="2" width="22" customWidth="1"/>
    <col min="3" max="3" width="14" customWidth="1"/>
    <col min="4" max="4" width="18" customWidth="1"/>
    <col min="5" max="5" width="80" customWidth="1"/>
  </cols>
  <sheetData>
    <row r="1" spans="1:5" ht="17" x14ac:dyDescent="0.2">
      <c r="A1" s="24" t="s">
        <v>165</v>
      </c>
    </row>
    <row r="2" spans="1:5" x14ac:dyDescent="0.2">
      <c r="A2" s="25" t="s">
        <v>166</v>
      </c>
    </row>
    <row r="4" spans="1:5" x14ac:dyDescent="0.2">
      <c r="A4" s="43" t="s">
        <v>167</v>
      </c>
      <c r="B4" s="43" t="s">
        <v>3</v>
      </c>
      <c r="C4" s="43" t="s">
        <v>168</v>
      </c>
      <c r="D4" s="43" t="s">
        <v>169</v>
      </c>
      <c r="E4" s="43" t="s">
        <v>170</v>
      </c>
    </row>
    <row r="5" spans="1:5" x14ac:dyDescent="0.2">
      <c r="A5" s="44">
        <v>521</v>
      </c>
      <c r="B5" s="44" t="s">
        <v>17</v>
      </c>
      <c r="C5" s="44" t="s">
        <v>15</v>
      </c>
      <c r="D5" s="44" t="s">
        <v>18</v>
      </c>
      <c r="E5" s="44" t="s">
        <v>171</v>
      </c>
    </row>
    <row r="6" spans="1:5" ht="28" x14ac:dyDescent="0.2">
      <c r="A6" s="44">
        <v>592</v>
      </c>
      <c r="B6" s="44" t="s">
        <v>57</v>
      </c>
      <c r="C6" s="44" t="s">
        <v>15</v>
      </c>
      <c r="D6" s="44" t="s">
        <v>18</v>
      </c>
      <c r="E6" s="44" t="s">
        <v>172</v>
      </c>
    </row>
    <row r="7" spans="1:5" x14ac:dyDescent="0.2">
      <c r="A7" s="44">
        <v>7004</v>
      </c>
      <c r="B7" s="44" t="s">
        <v>58</v>
      </c>
      <c r="C7" s="44" t="s">
        <v>173</v>
      </c>
      <c r="D7" s="44" t="s">
        <v>59</v>
      </c>
      <c r="E7" s="44" t="s">
        <v>174</v>
      </c>
    </row>
    <row r="8" spans="1:5" ht="42" x14ac:dyDescent="0.2">
      <c r="A8" s="44">
        <v>712</v>
      </c>
      <c r="B8" s="44" t="s">
        <v>52</v>
      </c>
      <c r="C8" s="44" t="s">
        <v>18</v>
      </c>
      <c r="D8" s="44" t="s">
        <v>175</v>
      </c>
      <c r="E8" s="44" t="s">
        <v>176</v>
      </c>
    </row>
    <row r="10" spans="1:5" x14ac:dyDescent="0.2">
      <c r="A10" s="25" t="s">
        <v>177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FY26-FY27 DRA-CSR</vt:lpstr>
      <vt:lpstr>Summary</vt:lpstr>
      <vt:lpstr>By School Level</vt:lpstr>
      <vt:lpstr>Classification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Alicia Olivo</cp:lastModifiedBy>
  <cp:revision>0</cp:revision>
  <dcterms:created xsi:type="dcterms:W3CDTF">2026-09-21T02:03:37Z</dcterms:created>
  <dcterms:modified xsi:type="dcterms:W3CDTF">2026-09-21T13:15:28Z</dcterms:modified>
  <dc:language>en-US</dc:language>
</cp:coreProperties>
</file>